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PC01\AppData\Local\Microsoft\Windows\INetCache\Content.Outlook\R2WBX4VV\"/>
    </mc:Choice>
  </mc:AlternateContent>
  <xr:revisionPtr revIDLastSave="0" documentId="13_ncr:1_{A0B18D7C-8588-4C2C-8467-20A32D51FF32}" xr6:coauthVersionLast="36" xr6:coauthVersionMax="46" xr10:uidLastSave="{00000000-0000-0000-0000-000000000000}"/>
  <bookViews>
    <workbookView xWindow="0" yWindow="0" windowWidth="28800" windowHeight="12225" activeTab="1" xr2:uid="{00000000-000D-0000-FFFF-FFFF00000000}"/>
  </bookViews>
  <sheets>
    <sheet name="Anspruchsvoraussetzung" sheetId="1" r:id="rId1"/>
    <sheet name="Kalkulation Ü III" sheetId="2" r:id="rId2"/>
    <sheet name="Ausfallkosten Veranstaltungen" sheetId="13" r:id="rId3"/>
    <sheet name="Ausfallkosten Reisewirtschaft" sheetId="14" r:id="rId4"/>
    <sheet name="Kosten Pyrotechnikbranche" sheetId="15" r:id="rId5"/>
    <sheet name="Ermittlung Teilwert-AfA Handel" sheetId="10" r:id="rId6"/>
    <sheet name="Neustarthilfe" sheetId="9" r:id="rId7"/>
    <sheet name="VerlustermittlungFixkostenhilfe" sheetId="12" r:id="rId8"/>
    <sheet name="Version" sheetId="11" r:id="rId9"/>
    <sheet name="Nachweis Sep bis Dez" sheetId="4" state="hidden" r:id="rId10"/>
    <sheet name="Berechnung TZ 4.16 Nachweis" sheetId="8" state="hidden" r:id="rId11"/>
    <sheet name="Abrechnung Förderbeihilfe" sheetId="5" state="hidden"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5" i="15" l="1"/>
  <c r="E75" i="15"/>
  <c r="F75" i="15"/>
  <c r="G75" i="15"/>
  <c r="H75" i="15"/>
  <c r="J75" i="15"/>
  <c r="K75" i="15"/>
  <c r="L75" i="15"/>
  <c r="M75" i="15"/>
  <c r="N75" i="15"/>
  <c r="O75" i="15"/>
  <c r="P75" i="15"/>
  <c r="B75" i="15"/>
  <c r="D130" i="2"/>
  <c r="E9" i="10"/>
  <c r="D29" i="14"/>
  <c r="D27" i="14"/>
  <c r="I26" i="14"/>
  <c r="I27" i="14" s="1"/>
  <c r="I29" i="14" s="1"/>
  <c r="K26" i="14"/>
  <c r="K27" i="14" s="1"/>
  <c r="K29" i="14" s="1"/>
  <c r="L26" i="14"/>
  <c r="L27" i="14" s="1"/>
  <c r="L29" i="14" s="1"/>
  <c r="M26" i="14"/>
  <c r="M27" i="14" s="1"/>
  <c r="M29" i="14" s="1"/>
  <c r="D26" i="14"/>
  <c r="E25" i="14"/>
  <c r="E26" i="14" s="1"/>
  <c r="E27" i="14" s="1"/>
  <c r="E29" i="14" s="1"/>
  <c r="F25" i="14"/>
  <c r="F26" i="14" s="1"/>
  <c r="F27" i="14" s="1"/>
  <c r="F29" i="14" s="1"/>
  <c r="G25" i="14"/>
  <c r="G26" i="14" s="1"/>
  <c r="G27" i="14" s="1"/>
  <c r="G29" i="14" s="1"/>
  <c r="H25" i="14"/>
  <c r="H26" i="14" s="1"/>
  <c r="H27" i="14" s="1"/>
  <c r="H29" i="14" s="1"/>
  <c r="I25" i="14"/>
  <c r="J25" i="14"/>
  <c r="J26" i="14" s="1"/>
  <c r="J27" i="14" s="1"/>
  <c r="J29" i="14" s="1"/>
  <c r="K25" i="14"/>
  <c r="L25" i="14"/>
  <c r="M25" i="14"/>
  <c r="D25" i="14"/>
  <c r="E11" i="14"/>
  <c r="F11" i="14"/>
  <c r="G11" i="14"/>
  <c r="G12" i="14" s="1"/>
  <c r="H11" i="14"/>
  <c r="H12" i="14" s="1"/>
  <c r="I11" i="14"/>
  <c r="I12" i="14" s="1"/>
  <c r="J11" i="14"/>
  <c r="J12" i="14" s="1"/>
  <c r="K11" i="14"/>
  <c r="L11" i="14"/>
  <c r="M11" i="14"/>
  <c r="M12" i="14" s="1"/>
  <c r="D11" i="14"/>
  <c r="D12" i="14" s="1"/>
  <c r="E12" i="14"/>
  <c r="F12" i="14"/>
  <c r="K12" i="14"/>
  <c r="L12" i="14"/>
  <c r="E21" i="14"/>
  <c r="F21" i="14"/>
  <c r="G21" i="14"/>
  <c r="H21" i="14"/>
  <c r="I21" i="14"/>
  <c r="J21" i="14"/>
  <c r="K21" i="14"/>
  <c r="L21" i="14"/>
  <c r="M21" i="14"/>
  <c r="D21" i="14"/>
  <c r="K1" i="15"/>
  <c r="K2" i="15"/>
  <c r="K3" i="15"/>
  <c r="B81" i="15"/>
  <c r="H81" i="15" s="1"/>
  <c r="B82" i="15"/>
  <c r="H82" i="15" s="1"/>
  <c r="B83" i="15"/>
  <c r="H83" i="15" s="1"/>
  <c r="B84" i="15"/>
  <c r="H84" i="15" s="1"/>
  <c r="B85" i="15"/>
  <c r="H85" i="15" s="1"/>
  <c r="M66" i="15"/>
  <c r="M67" i="15" s="1"/>
  <c r="K66" i="15"/>
  <c r="K67" i="15" s="1"/>
  <c r="G66" i="15"/>
  <c r="G67" i="15" s="1"/>
  <c r="E66" i="15"/>
  <c r="B66" i="15"/>
  <c r="D65" i="15"/>
  <c r="F65" i="15" s="1"/>
  <c r="F66" i="15" s="1"/>
  <c r="P63" i="15"/>
  <c r="N63" i="15"/>
  <c r="H63" i="15"/>
  <c r="F63" i="15"/>
  <c r="B63" i="15"/>
  <c r="L49" i="15"/>
  <c r="L63" i="15" s="1"/>
  <c r="J49" i="15"/>
  <c r="J63" i="15" s="1"/>
  <c r="D49" i="15"/>
  <c r="D63" i="15" s="1"/>
  <c r="P41" i="15"/>
  <c r="N41" i="15"/>
  <c r="L41" i="15"/>
  <c r="J41" i="15"/>
  <c r="H41" i="15"/>
  <c r="F41" i="15"/>
  <c r="D41" i="15"/>
  <c r="B41" i="15"/>
  <c r="P38" i="15"/>
  <c r="N38" i="15"/>
  <c r="L38" i="15"/>
  <c r="J38" i="15"/>
  <c r="H38" i="15"/>
  <c r="F38" i="15"/>
  <c r="D38" i="15"/>
  <c r="B38" i="15"/>
  <c r="P35" i="15"/>
  <c r="N35" i="15"/>
  <c r="L35" i="15"/>
  <c r="J35" i="15"/>
  <c r="H35" i="15"/>
  <c r="F35" i="15"/>
  <c r="D35" i="15"/>
  <c r="B35" i="15"/>
  <c r="P28" i="15"/>
  <c r="N28" i="15"/>
  <c r="L28" i="15"/>
  <c r="J28" i="15"/>
  <c r="H28" i="15"/>
  <c r="F28" i="15"/>
  <c r="D28" i="15"/>
  <c r="B28" i="15"/>
  <c r="P23" i="15"/>
  <c r="L23" i="15"/>
  <c r="J23" i="15"/>
  <c r="H23" i="15"/>
  <c r="D23" i="15"/>
  <c r="B23" i="15"/>
  <c r="P20" i="15"/>
  <c r="N20" i="15"/>
  <c r="L20" i="15"/>
  <c r="J20" i="15"/>
  <c r="H20" i="15"/>
  <c r="F20" i="15"/>
  <c r="D20" i="15"/>
  <c r="B20" i="15"/>
  <c r="P17" i="15"/>
  <c r="N17" i="15"/>
  <c r="L17" i="15"/>
  <c r="J17" i="15"/>
  <c r="H17" i="15"/>
  <c r="F17" i="15"/>
  <c r="D17" i="15"/>
  <c r="B17" i="15"/>
  <c r="P14" i="15"/>
  <c r="N14" i="15"/>
  <c r="L14" i="15"/>
  <c r="J14" i="15"/>
  <c r="H14" i="15"/>
  <c r="F14" i="15"/>
  <c r="D14" i="15"/>
  <c r="B14" i="15"/>
  <c r="K37" i="14"/>
  <c r="K39" i="14" s="1"/>
  <c r="J37" i="14"/>
  <c r="J39" i="14" s="1"/>
  <c r="I37" i="14"/>
  <c r="I39" i="14" s="1"/>
  <c r="H37" i="14"/>
  <c r="H39" i="14" s="1"/>
  <c r="M32" i="14"/>
  <c r="L32" i="14"/>
  <c r="K32" i="14"/>
  <c r="J32" i="14"/>
  <c r="I32" i="14"/>
  <c r="H32" i="14"/>
  <c r="G32" i="14"/>
  <c r="F32" i="14"/>
  <c r="E32" i="14"/>
  <c r="D32" i="14"/>
  <c r="H60" i="13"/>
  <c r="I60" i="13"/>
  <c r="J60" i="13"/>
  <c r="K60" i="13"/>
  <c r="H58" i="13"/>
  <c r="I58" i="13"/>
  <c r="J58" i="13"/>
  <c r="K58" i="13"/>
  <c r="E53" i="13"/>
  <c r="F53" i="13"/>
  <c r="G53" i="13"/>
  <c r="H53" i="13"/>
  <c r="I53" i="13"/>
  <c r="J53" i="13"/>
  <c r="K53" i="13"/>
  <c r="L53" i="13"/>
  <c r="M53" i="13"/>
  <c r="D53" i="13"/>
  <c r="E50" i="13"/>
  <c r="F50" i="13"/>
  <c r="G50" i="13"/>
  <c r="H50" i="13"/>
  <c r="I50" i="13"/>
  <c r="J50" i="13"/>
  <c r="K50" i="13"/>
  <c r="L50" i="13"/>
  <c r="M50" i="13"/>
  <c r="D50" i="13"/>
  <c r="C53" i="12"/>
  <c r="B51" i="12"/>
  <c r="A51" i="12"/>
  <c r="I49" i="12"/>
  <c r="H49" i="12"/>
  <c r="G49" i="12"/>
  <c r="F49" i="12"/>
  <c r="E49" i="12"/>
  <c r="D49" i="12"/>
  <c r="C49" i="12"/>
  <c r="B49" i="12"/>
  <c r="B53" i="12" s="1"/>
  <c r="B35" i="12"/>
  <c r="C34" i="12"/>
  <c r="C35" i="12" s="1"/>
  <c r="H29" i="12"/>
  <c r="G29" i="12"/>
  <c r="F29" i="12"/>
  <c r="E29" i="12"/>
  <c r="B29" i="12"/>
  <c r="I7" i="12"/>
  <c r="I29" i="12" s="1"/>
  <c r="H7" i="12"/>
  <c r="G7" i="12"/>
  <c r="F7" i="12"/>
  <c r="E7" i="12"/>
  <c r="D7" i="12"/>
  <c r="D29" i="12" s="1"/>
  <c r="C7" i="12"/>
  <c r="C29" i="12" s="1"/>
  <c r="C51" i="12" s="1"/>
  <c r="B7" i="12"/>
  <c r="E5" i="12"/>
  <c r="H87" i="15" l="1"/>
  <c r="D66" i="15"/>
  <c r="D67" i="15" s="1"/>
  <c r="B67" i="15"/>
  <c r="F67" i="15"/>
  <c r="H65" i="15"/>
  <c r="C55" i="12"/>
  <c r="C57" i="12"/>
  <c r="B55" i="12"/>
  <c r="B57" i="12"/>
  <c r="D34" i="12"/>
  <c r="H66" i="15" l="1"/>
  <c r="J65" i="15"/>
  <c r="D69" i="15"/>
  <c r="K69" i="15"/>
  <c r="B69" i="15"/>
  <c r="G69" i="15"/>
  <c r="M69" i="15"/>
  <c r="E69" i="15"/>
  <c r="E34" i="12"/>
  <c r="D35" i="12"/>
  <c r="D51" i="12"/>
  <c r="D53" i="12" s="1"/>
  <c r="J66" i="15" l="1"/>
  <c r="L65" i="15"/>
  <c r="H67" i="15"/>
  <c r="H69" i="15" s="1"/>
  <c r="D55" i="12"/>
  <c r="D57" i="12"/>
  <c r="F34" i="12"/>
  <c r="E35" i="12"/>
  <c r="E51" i="12"/>
  <c r="E53" i="12" s="1"/>
  <c r="J67" i="15" l="1"/>
  <c r="J69" i="15" s="1"/>
  <c r="N65" i="15"/>
  <c r="L66" i="15"/>
  <c r="E57" i="12"/>
  <c r="E55" i="12"/>
  <c r="G34" i="12"/>
  <c r="F35" i="12"/>
  <c r="F51" i="12" s="1"/>
  <c r="F53" i="12" s="1"/>
  <c r="L67" i="15" l="1"/>
  <c r="L69" i="15" s="1"/>
  <c r="P65" i="15"/>
  <c r="P66" i="15" s="1"/>
  <c r="N66" i="15"/>
  <c r="F57" i="12"/>
  <c r="F55" i="12"/>
  <c r="G35" i="12"/>
  <c r="G51" i="12"/>
  <c r="G53" i="12" s="1"/>
  <c r="H34" i="12"/>
  <c r="P67" i="15" l="1"/>
  <c r="P69" i="15" s="1"/>
  <c r="N67" i="15"/>
  <c r="N69" i="15" s="1"/>
  <c r="G55" i="12"/>
  <c r="G57" i="12"/>
  <c r="H35" i="12"/>
  <c r="H51" i="12"/>
  <c r="H53" i="12" s="1"/>
  <c r="I34" i="12"/>
  <c r="I35" i="12" l="1"/>
  <c r="J34" i="12"/>
  <c r="I51" i="12"/>
  <c r="I53" i="12" s="1"/>
  <c r="H55" i="12"/>
  <c r="H57" i="12"/>
  <c r="I55" i="12" l="1"/>
  <c r="I57" i="12"/>
  <c r="K34" i="12"/>
  <c r="J35" i="12"/>
  <c r="L34" i="12" l="1"/>
  <c r="K35" i="12"/>
  <c r="M34" i="12" l="1"/>
  <c r="L35" i="12"/>
  <c r="M35" i="12" l="1"/>
  <c r="N34" i="12"/>
  <c r="N35" i="12" l="1"/>
  <c r="O34" i="12"/>
  <c r="O35" i="12" l="1"/>
  <c r="P34" i="12"/>
  <c r="Q34" i="12" l="1"/>
  <c r="P35" i="12"/>
  <c r="Q35" i="12" l="1"/>
  <c r="D95" i="2"/>
  <c r="F95" i="2" s="1"/>
  <c r="H95" i="2" s="1"/>
  <c r="J95" i="2" s="1"/>
  <c r="L95" i="2" s="1"/>
  <c r="N95" i="2" s="1"/>
  <c r="P95" i="2" s="1"/>
  <c r="F11" i="10"/>
  <c r="F10" i="10"/>
  <c r="F9" i="10"/>
  <c r="F8" i="10"/>
  <c r="F7" i="10"/>
  <c r="F6" i="10"/>
  <c r="F13" i="10" l="1"/>
  <c r="B21" i="9"/>
  <c r="D21" i="9" s="1"/>
  <c r="A31" i="9"/>
  <c r="B12" i="9"/>
  <c r="B31" i="9" s="1"/>
  <c r="I3" i="9"/>
  <c r="I2" i="9"/>
  <c r="I1" i="9"/>
  <c r="B116" i="2"/>
  <c r="B117" i="2"/>
  <c r="B118" i="2"/>
  <c r="B119" i="2"/>
  <c r="B115" i="2"/>
  <c r="D96" i="2"/>
  <c r="E96" i="2"/>
  <c r="F96" i="2"/>
  <c r="G96" i="2"/>
  <c r="H96" i="2"/>
  <c r="J96" i="2"/>
  <c r="K96" i="2"/>
  <c r="L96" i="2"/>
  <c r="M96" i="2"/>
  <c r="N96" i="2"/>
  <c r="P96" i="2"/>
  <c r="B96" i="2"/>
  <c r="K3" i="2"/>
  <c r="K2" i="2"/>
  <c r="K1" i="2"/>
  <c r="F106" i="2" l="1"/>
  <c r="F74" i="15"/>
  <c r="F69" i="15" s="1"/>
  <c r="G97" i="2"/>
  <c r="M97" i="2"/>
  <c r="K97" i="2"/>
  <c r="P27" i="2"/>
  <c r="Q4" i="12" s="1"/>
  <c r="N27" i="2"/>
  <c r="P4" i="12" s="1"/>
  <c r="L27" i="2"/>
  <c r="O4" i="12" s="1"/>
  <c r="J27" i="2"/>
  <c r="N4" i="12" s="1"/>
  <c r="P19" i="2"/>
  <c r="N19" i="2"/>
  <c r="L19" i="2"/>
  <c r="J19" i="2"/>
  <c r="P93" i="2"/>
  <c r="N93" i="2"/>
  <c r="L79" i="2"/>
  <c r="L93" i="2" s="1"/>
  <c r="J79" i="2"/>
  <c r="J93" i="2" s="1"/>
  <c r="P71" i="2"/>
  <c r="N71" i="2"/>
  <c r="L71" i="2"/>
  <c r="J71" i="2"/>
  <c r="P68" i="2"/>
  <c r="N68" i="2"/>
  <c r="L68" i="2"/>
  <c r="J68" i="2"/>
  <c r="P65" i="2"/>
  <c r="N65" i="2"/>
  <c r="L65" i="2"/>
  <c r="J65" i="2"/>
  <c r="P58" i="2"/>
  <c r="N58" i="2"/>
  <c r="L58" i="2"/>
  <c r="J58" i="2"/>
  <c r="P53" i="2"/>
  <c r="L53" i="2"/>
  <c r="J53" i="2"/>
  <c r="P50" i="2"/>
  <c r="N50" i="2"/>
  <c r="L50" i="2"/>
  <c r="J50" i="2"/>
  <c r="P47" i="2"/>
  <c r="N47" i="2"/>
  <c r="L47" i="2"/>
  <c r="J47" i="2"/>
  <c r="P44" i="2"/>
  <c r="N44" i="2"/>
  <c r="L44" i="2"/>
  <c r="J44" i="2"/>
  <c r="D28" i="1"/>
  <c r="H22" i="1"/>
  <c r="H21" i="1"/>
  <c r="H20" i="1"/>
  <c r="H19" i="1"/>
  <c r="H18" i="1"/>
  <c r="H65" i="2"/>
  <c r="F65" i="2"/>
  <c r="D65" i="2"/>
  <c r="B65" i="2"/>
  <c r="D56" i="13" l="1"/>
  <c r="D58" i="13" s="1"/>
  <c r="D60" i="13" s="1"/>
  <c r="D35" i="14"/>
  <c r="D37" i="14" s="1"/>
  <c r="D39" i="14" s="1"/>
  <c r="E56" i="13"/>
  <c r="E58" i="13" s="1"/>
  <c r="E60" i="13" s="1"/>
  <c r="E35" i="14"/>
  <c r="E37" i="14" s="1"/>
  <c r="E39" i="14" s="1"/>
  <c r="F56" i="13"/>
  <c r="F58" i="13" s="1"/>
  <c r="F60" i="13" s="1"/>
  <c r="F35" i="14"/>
  <c r="F37" i="14" s="1"/>
  <c r="F39" i="14" s="1"/>
  <c r="G56" i="13"/>
  <c r="G58" i="13" s="1"/>
  <c r="G60" i="13" s="1"/>
  <c r="G35" i="14"/>
  <c r="G37" i="14" s="1"/>
  <c r="G39" i="14" s="1"/>
  <c r="P97" i="2"/>
  <c r="N49" i="12"/>
  <c r="N7" i="12"/>
  <c r="N29" i="12" s="1"/>
  <c r="N51" i="12" s="1"/>
  <c r="L97" i="2"/>
  <c r="J97" i="2"/>
  <c r="N97" i="2"/>
  <c r="O49" i="12"/>
  <c r="O7" i="12"/>
  <c r="O29" i="12" s="1"/>
  <c r="O51" i="12" s="1"/>
  <c r="O53" i="12" s="1"/>
  <c r="Q49" i="12"/>
  <c r="Q7" i="12"/>
  <c r="Q29" i="12" s="1"/>
  <c r="Q51" i="12" s="1"/>
  <c r="P49" i="12"/>
  <c r="P7" i="12"/>
  <c r="P29" i="12" s="1"/>
  <c r="P51" i="12" s="1"/>
  <c r="P53" i="12" s="1"/>
  <c r="L29" i="2"/>
  <c r="L31" i="2" s="1"/>
  <c r="H19" i="9"/>
  <c r="P29" i="2"/>
  <c r="P31" i="2" s="1"/>
  <c r="L19" i="9"/>
  <c r="J29" i="2"/>
  <c r="J31" i="2" s="1"/>
  <c r="F19" i="9"/>
  <c r="N29" i="2"/>
  <c r="N31" i="2" s="1"/>
  <c r="J19" i="9"/>
  <c r="F24" i="1"/>
  <c r="A27" i="1"/>
  <c r="A25" i="1"/>
  <c r="A32" i="1"/>
  <c r="F28" i="1"/>
  <c r="A28" i="1"/>
  <c r="N53" i="12" l="1"/>
  <c r="N55" i="12"/>
  <c r="N57" i="12"/>
  <c r="Q53" i="12"/>
  <c r="Q55" i="12" s="1"/>
  <c r="O55" i="12"/>
  <c r="O57" i="12"/>
  <c r="P55" i="12"/>
  <c r="P57" i="12"/>
  <c r="O51" i="8"/>
  <c r="O50" i="8"/>
  <c r="O49" i="8"/>
  <c r="O48" i="8"/>
  <c r="N51" i="8"/>
  <c r="N50" i="8"/>
  <c r="N49" i="8"/>
  <c r="N48" i="8"/>
  <c r="M51" i="8"/>
  <c r="M50" i="8"/>
  <c r="M49" i="8"/>
  <c r="M48" i="8"/>
  <c r="L51" i="8"/>
  <c r="L50" i="8"/>
  <c r="L49" i="8"/>
  <c r="L48" i="8"/>
  <c r="K51" i="8"/>
  <c r="K50" i="8"/>
  <c r="K49" i="8"/>
  <c r="K48" i="8"/>
  <c r="J51" i="8"/>
  <c r="J50" i="8"/>
  <c r="J49" i="8"/>
  <c r="J48" i="8"/>
  <c r="I51" i="8"/>
  <c r="I50" i="8"/>
  <c r="I49" i="8"/>
  <c r="I48" i="8"/>
  <c r="H51" i="8"/>
  <c r="H50" i="8"/>
  <c r="H49" i="8"/>
  <c r="H48" i="8"/>
  <c r="G51" i="8"/>
  <c r="G50" i="8"/>
  <c r="G49" i="8"/>
  <c r="G48" i="8"/>
  <c r="O46" i="8"/>
  <c r="O45" i="8"/>
  <c r="O44" i="8"/>
  <c r="O43" i="8"/>
  <c r="N46" i="8"/>
  <c r="N45" i="8"/>
  <c r="N44" i="8"/>
  <c r="N43" i="8"/>
  <c r="M46" i="8"/>
  <c r="M45" i="8"/>
  <c r="M44" i="8"/>
  <c r="M43" i="8"/>
  <c r="L46" i="8"/>
  <c r="L45" i="8"/>
  <c r="L44" i="8"/>
  <c r="L43" i="8"/>
  <c r="K46" i="8"/>
  <c r="K45" i="8"/>
  <c r="K44" i="8"/>
  <c r="K43" i="8"/>
  <c r="J46" i="8"/>
  <c r="J45" i="8"/>
  <c r="J44" i="8"/>
  <c r="J43" i="8"/>
  <c r="I46" i="8"/>
  <c r="I45" i="8"/>
  <c r="I44" i="8"/>
  <c r="I43" i="8"/>
  <c r="H46" i="8"/>
  <c r="H45" i="8"/>
  <c r="H44" i="8"/>
  <c r="H43" i="8"/>
  <c r="G46" i="8"/>
  <c r="G45" i="8"/>
  <c r="G44" i="8"/>
  <c r="G43" i="8"/>
  <c r="H1" i="8"/>
  <c r="Q57" i="12" l="1"/>
  <c r="D1" i="8"/>
  <c r="A1" i="8"/>
  <c r="O88" i="8"/>
  <c r="N88" i="8"/>
  <c r="M88" i="8"/>
  <c r="L88" i="8"/>
  <c r="K88" i="8"/>
  <c r="J88" i="8"/>
  <c r="I88" i="8"/>
  <c r="H88" i="8"/>
  <c r="G88" i="8"/>
  <c r="F88" i="8"/>
  <c r="P87" i="8"/>
  <c r="P86" i="8"/>
  <c r="P85" i="8"/>
  <c r="P88" i="8" s="1"/>
  <c r="O52" i="8"/>
  <c r="N52" i="8"/>
  <c r="M52" i="8"/>
  <c r="L52" i="8"/>
  <c r="L53" i="8" s="1"/>
  <c r="L54" i="8" s="1"/>
  <c r="K52" i="8"/>
  <c r="J52" i="8"/>
  <c r="I52" i="8"/>
  <c r="H52" i="8"/>
  <c r="G52" i="8"/>
  <c r="F52" i="8"/>
  <c r="O47" i="8"/>
  <c r="N47" i="8"/>
  <c r="M47" i="8"/>
  <c r="L47" i="8"/>
  <c r="K47" i="8"/>
  <c r="J47" i="8"/>
  <c r="I47" i="8"/>
  <c r="H47" i="8"/>
  <c r="G47" i="8"/>
  <c r="F47" i="8"/>
  <c r="O39" i="8"/>
  <c r="N39" i="8"/>
  <c r="M39" i="8"/>
  <c r="L39" i="8"/>
  <c r="K39" i="8"/>
  <c r="J39" i="8"/>
  <c r="I39" i="8"/>
  <c r="H39" i="8"/>
  <c r="G39" i="8"/>
  <c r="F39" i="8"/>
  <c r="M24" i="8"/>
  <c r="L24" i="8"/>
  <c r="K24" i="8"/>
  <c r="J24" i="8"/>
  <c r="I24" i="8"/>
  <c r="H24" i="8"/>
  <c r="G24" i="8"/>
  <c r="F24" i="8"/>
  <c r="O21" i="8"/>
  <c r="O24" i="8" s="1"/>
  <c r="N21" i="8"/>
  <c r="N24" i="8" s="1"/>
  <c r="M21" i="8"/>
  <c r="L21" i="8"/>
  <c r="M14" i="8"/>
  <c r="O12" i="8"/>
  <c r="O14" i="8" s="1"/>
  <c r="N12" i="8"/>
  <c r="M12" i="8"/>
  <c r="L12" i="8"/>
  <c r="L14" i="8" s="1"/>
  <c r="K12" i="8"/>
  <c r="K14" i="8" s="1"/>
  <c r="J12" i="8"/>
  <c r="J14" i="8" s="1"/>
  <c r="I12" i="8"/>
  <c r="I14" i="8" s="1"/>
  <c r="H12" i="8"/>
  <c r="H14" i="8" s="1"/>
  <c r="G12" i="8"/>
  <c r="G14" i="8" s="1"/>
  <c r="F12" i="8"/>
  <c r="F14" i="8" s="1"/>
  <c r="E12" i="8"/>
  <c r="E14" i="8" s="1"/>
  <c r="D12" i="8"/>
  <c r="D14" i="8" s="1"/>
  <c r="P4" i="8"/>
  <c r="L96" i="8"/>
  <c r="K53" i="8" l="1"/>
  <c r="K54" i="8" s="1"/>
  <c r="K92" i="8" s="1"/>
  <c r="F53" i="8"/>
  <c r="F54" i="8" s="1"/>
  <c r="P12" i="8"/>
  <c r="J53" i="8"/>
  <c r="J54" i="8" s="1"/>
  <c r="J92" i="8" s="1"/>
  <c r="H53" i="8"/>
  <c r="H54" i="8" s="1"/>
  <c r="H92" i="8" s="1"/>
  <c r="I53" i="8"/>
  <c r="I54" i="8" s="1"/>
  <c r="I92" i="8" s="1"/>
  <c r="O53" i="8"/>
  <c r="O54" i="8" s="1"/>
  <c r="O92" i="8" s="1"/>
  <c r="N53" i="8"/>
  <c r="N54" i="8" s="1"/>
  <c r="N92" i="8" s="1"/>
  <c r="M53" i="8"/>
  <c r="M54" i="8" s="1"/>
  <c r="M92" i="8" s="1"/>
  <c r="G53" i="8"/>
  <c r="G54" i="8" s="1"/>
  <c r="G92" i="8" s="1"/>
  <c r="P14" i="8"/>
  <c r="P29" i="8" s="1"/>
  <c r="O29" i="8" s="1"/>
  <c r="F92" i="8"/>
  <c r="F94" i="8" s="1"/>
  <c r="F56" i="8"/>
  <c r="O58" i="8"/>
  <c r="N14" i="8"/>
  <c r="P58" i="8"/>
  <c r="N96" i="8"/>
  <c r="L92" i="8"/>
  <c r="O96" i="8"/>
  <c r="P96" i="8"/>
  <c r="G58" i="8"/>
  <c r="H58" i="8"/>
  <c r="F96" i="8"/>
  <c r="I58" i="8"/>
  <c r="G96" i="8"/>
  <c r="M96" i="8"/>
  <c r="J58" i="8"/>
  <c r="H96" i="8"/>
  <c r="F58" i="8"/>
  <c r="K58" i="8"/>
  <c r="I96" i="8"/>
  <c r="L58" i="8"/>
  <c r="J96" i="8"/>
  <c r="M58" i="8"/>
  <c r="K96" i="8"/>
  <c r="N58" i="8"/>
  <c r="F98" i="8" l="1"/>
  <c r="N29" i="8"/>
  <c r="O34" i="8"/>
  <c r="O41" i="8" s="1"/>
  <c r="F60" i="8"/>
  <c r="F62" i="8" s="1"/>
  <c r="O90" i="8" l="1"/>
  <c r="O56" i="8"/>
  <c r="O60" i="8" s="1"/>
  <c r="N34" i="8"/>
  <c r="N41" i="8" s="1"/>
  <c r="M29" i="8"/>
  <c r="F100" i="8"/>
  <c r="F102" i="8"/>
  <c r="N56" i="8" l="1"/>
  <c r="N60" i="8" s="1"/>
  <c r="N90" i="8"/>
  <c r="L29" i="8"/>
  <c r="M34" i="8"/>
  <c r="M41" i="8" s="1"/>
  <c r="O94" i="8"/>
  <c r="O98" i="8" s="1"/>
  <c r="O102" i="8" l="1"/>
  <c r="L34" i="8"/>
  <c r="L41" i="8" s="1"/>
  <c r="K29" i="8"/>
  <c r="M90" i="8"/>
  <c r="M94" i="8" s="1"/>
  <c r="M98" i="8" s="1"/>
  <c r="M56" i="8"/>
  <c r="M60" i="8" s="1"/>
  <c r="N94" i="8"/>
  <c r="N98" i="8" s="1"/>
  <c r="N102" i="8" l="1"/>
  <c r="M102" i="8"/>
  <c r="K34" i="8"/>
  <c r="K41" i="8" s="1"/>
  <c r="J29" i="8"/>
  <c r="L90" i="8"/>
  <c r="L56" i="8"/>
  <c r="L60" i="8" s="1"/>
  <c r="J34" i="8" l="1"/>
  <c r="J41" i="8" s="1"/>
  <c r="I29" i="8"/>
  <c r="L94" i="8"/>
  <c r="L98" i="8" s="1"/>
  <c r="K90" i="8"/>
  <c r="K94" i="8" s="1"/>
  <c r="K98" i="8" s="1"/>
  <c r="K56" i="8"/>
  <c r="K60" i="8" s="1"/>
  <c r="K62" i="8" s="1"/>
  <c r="L102" i="8" l="1"/>
  <c r="K100" i="8"/>
  <c r="K102" i="8"/>
  <c r="H29" i="8"/>
  <c r="I34" i="8"/>
  <c r="I41" i="8" s="1"/>
  <c r="J90" i="8"/>
  <c r="J94" i="8" s="1"/>
  <c r="J98" i="8" s="1"/>
  <c r="J56" i="8"/>
  <c r="J60" i="8" s="1"/>
  <c r="J62" i="8" s="1"/>
  <c r="J102" i="8" l="1"/>
  <c r="J100" i="8"/>
  <c r="I90" i="8"/>
  <c r="I94" i="8" s="1"/>
  <c r="I98" i="8" s="1"/>
  <c r="I56" i="8"/>
  <c r="I60" i="8" s="1"/>
  <c r="I62" i="8" s="1"/>
  <c r="G29" i="8"/>
  <c r="H34" i="8"/>
  <c r="H41" i="8" s="1"/>
  <c r="H90" i="8" l="1"/>
  <c r="H94" i="8" s="1"/>
  <c r="H98" i="8" s="1"/>
  <c r="H56" i="8"/>
  <c r="H60" i="8" s="1"/>
  <c r="H62" i="8" s="1"/>
  <c r="G34" i="8"/>
  <c r="G41" i="8" s="1"/>
  <c r="F29" i="8"/>
  <c r="F34" i="8" s="1"/>
  <c r="F41" i="8" s="1"/>
  <c r="I100" i="8"/>
  <c r="I102" i="8"/>
  <c r="G90" i="8" l="1"/>
  <c r="G94" i="8" s="1"/>
  <c r="G56" i="8"/>
  <c r="P41" i="8"/>
  <c r="F90" i="8"/>
  <c r="H100" i="8"/>
  <c r="H102" i="8"/>
  <c r="G60" i="8" l="1"/>
  <c r="G62" i="8" s="1"/>
  <c r="P56" i="8"/>
  <c r="P60" i="8" s="1"/>
  <c r="G98" i="8"/>
  <c r="P94" i="8"/>
  <c r="P98" i="8" s="1"/>
  <c r="G100" i="8" l="1"/>
  <c r="G102" i="8"/>
  <c r="H103" i="4" l="1"/>
  <c r="H102" i="4"/>
  <c r="H101" i="4"/>
  <c r="H100" i="4"/>
  <c r="H99" i="4"/>
  <c r="H87" i="4"/>
  <c r="F87" i="4"/>
  <c r="B87" i="4"/>
  <c r="D82" i="4"/>
  <c r="D87" i="4" s="1"/>
  <c r="H74" i="4"/>
  <c r="F74" i="4"/>
  <c r="D74" i="4"/>
  <c r="B74" i="4"/>
  <c r="H71" i="4"/>
  <c r="F71" i="4"/>
  <c r="D71" i="4"/>
  <c r="B71" i="4"/>
  <c r="H68" i="4"/>
  <c r="F68" i="4"/>
  <c r="D68" i="4"/>
  <c r="B68" i="4"/>
  <c r="H62" i="4"/>
  <c r="F62" i="4"/>
  <c r="D62" i="4"/>
  <c r="B62" i="4"/>
  <c r="H57" i="4"/>
  <c r="D57" i="4"/>
  <c r="B57" i="4"/>
  <c r="H54" i="4"/>
  <c r="F54" i="4"/>
  <c r="D54" i="4"/>
  <c r="B54" i="4"/>
  <c r="H51" i="4"/>
  <c r="F51" i="4"/>
  <c r="D51" i="4"/>
  <c r="B51" i="4"/>
  <c r="H48" i="4"/>
  <c r="F48" i="4"/>
  <c r="D48" i="4"/>
  <c r="B48" i="4"/>
  <c r="H31" i="4"/>
  <c r="F31" i="4"/>
  <c r="F33" i="4" s="1"/>
  <c r="D31" i="4"/>
  <c r="B31" i="4"/>
  <c r="B33" i="4" s="1"/>
  <c r="B35" i="4" s="1"/>
  <c r="B12" i="5" s="1"/>
  <c r="H23" i="4"/>
  <c r="F23" i="4"/>
  <c r="D23" i="4"/>
  <c r="B23" i="4"/>
  <c r="K3" i="4"/>
  <c r="K2" i="4"/>
  <c r="K1" i="4"/>
  <c r="F93" i="2"/>
  <c r="D79" i="2"/>
  <c r="F68" i="2"/>
  <c r="H71" i="2"/>
  <c r="F71" i="2"/>
  <c r="D71" i="2"/>
  <c r="F58" i="2"/>
  <c r="H50" i="2"/>
  <c r="F50" i="2"/>
  <c r="H47" i="2"/>
  <c r="F47" i="2"/>
  <c r="H44" i="2"/>
  <c r="F44" i="2"/>
  <c r="D44" i="2"/>
  <c r="H27" i="2"/>
  <c r="F27" i="2"/>
  <c r="D27" i="2"/>
  <c r="M33" i="14" s="1"/>
  <c r="B27" i="2"/>
  <c r="L33" i="14" s="1"/>
  <c r="H19" i="2"/>
  <c r="F19" i="2"/>
  <c r="D19" i="2"/>
  <c r="B19" i="2"/>
  <c r="M56" i="13" l="1"/>
  <c r="M35" i="14"/>
  <c r="M37" i="14" s="1"/>
  <c r="M39" i="14" s="1"/>
  <c r="L56" i="13"/>
  <c r="L35" i="14"/>
  <c r="L37" i="14" s="1"/>
  <c r="L39" i="14" s="1"/>
  <c r="D19" i="9"/>
  <c r="M4" i="12"/>
  <c r="F97" i="2"/>
  <c r="J4" i="12"/>
  <c r="L54" i="13"/>
  <c r="L58" i="13" s="1"/>
  <c r="L60" i="13" s="1"/>
  <c r="K4" i="12"/>
  <c r="M54" i="13"/>
  <c r="M58" i="13" s="1"/>
  <c r="M60" i="13" s="1"/>
  <c r="B19" i="9"/>
  <c r="N19" i="9" s="1"/>
  <c r="B23" i="9" s="1"/>
  <c r="B25" i="9" s="1"/>
  <c r="D25" i="9" s="1"/>
  <c r="B27" i="9" s="1"/>
  <c r="B29" i="9" s="1"/>
  <c r="L4" i="12"/>
  <c r="B10" i="5"/>
  <c r="J31" i="4"/>
  <c r="D89" i="4"/>
  <c r="D91" i="4" s="1"/>
  <c r="D93" i="4" s="1"/>
  <c r="D14" i="5" s="1"/>
  <c r="F35" i="4"/>
  <c r="F12" i="5" s="1"/>
  <c r="F10" i="5"/>
  <c r="J23" i="4"/>
  <c r="F89" i="4"/>
  <c r="D33" i="4"/>
  <c r="H89" i="4"/>
  <c r="H91" i="4" s="1"/>
  <c r="H93" i="4" s="1"/>
  <c r="H14" i="5" s="1"/>
  <c r="H105" i="4"/>
  <c r="B89" i="4"/>
  <c r="F91" i="4"/>
  <c r="F93" i="4" s="1"/>
  <c r="F14" i="5" s="1"/>
  <c r="B91" i="4"/>
  <c r="B93" i="4" s="1"/>
  <c r="B14" i="5" s="1"/>
  <c r="H33" i="4"/>
  <c r="F29" i="2"/>
  <c r="F31" i="2" s="1"/>
  <c r="D62" i="13" l="1"/>
  <c r="D41" i="14"/>
  <c r="F101" i="2" s="1"/>
  <c r="B99" i="15"/>
  <c r="F105" i="2"/>
  <c r="M7" i="12"/>
  <c r="M29" i="12" s="1"/>
  <c r="M51" i="12" s="1"/>
  <c r="M53" i="12" s="1"/>
  <c r="M49" i="12"/>
  <c r="L49" i="12"/>
  <c r="L7" i="12"/>
  <c r="L29" i="12" s="1"/>
  <c r="L51" i="12" s="1"/>
  <c r="J7" i="12"/>
  <c r="J29" i="12" s="1"/>
  <c r="J51" i="12" s="1"/>
  <c r="J49" i="12"/>
  <c r="K49" i="12"/>
  <c r="K7" i="12"/>
  <c r="K29" i="12" s="1"/>
  <c r="K51" i="12" s="1"/>
  <c r="K53" i="12" s="1"/>
  <c r="B33" i="9"/>
  <c r="B140" i="2"/>
  <c r="F16" i="5"/>
  <c r="F19" i="5" s="1"/>
  <c r="F22" i="5" s="1"/>
  <c r="F25" i="5" s="1"/>
  <c r="N64" i="8" s="1"/>
  <c r="D35" i="4"/>
  <c r="D12" i="5" s="1"/>
  <c r="D10" i="5"/>
  <c r="H35" i="4"/>
  <c r="H12" i="5" s="1"/>
  <c r="H10" i="5"/>
  <c r="J14" i="5"/>
  <c r="K3" i="5"/>
  <c r="K2" i="5"/>
  <c r="K1" i="5"/>
  <c r="L53" i="12" l="1"/>
  <c r="L57" i="12" s="1"/>
  <c r="L55" i="12"/>
  <c r="K57" i="12"/>
  <c r="K55" i="12"/>
  <c r="J53" i="12"/>
  <c r="M55" i="12"/>
  <c r="M57" i="12"/>
  <c r="N104" i="8"/>
  <c r="N61" i="8"/>
  <c r="N62" i="8" s="1"/>
  <c r="N68" i="8" s="1"/>
  <c r="N72" i="8" s="1"/>
  <c r="H119" i="2"/>
  <c r="H118" i="2"/>
  <c r="H117" i="2"/>
  <c r="H116" i="2"/>
  <c r="H115" i="2"/>
  <c r="H93" i="2"/>
  <c r="D93" i="2"/>
  <c r="B93" i="2"/>
  <c r="B71" i="2"/>
  <c r="H68" i="2"/>
  <c r="D68" i="2"/>
  <c r="B68" i="2"/>
  <c r="H58" i="2"/>
  <c r="D58" i="2"/>
  <c r="B58" i="2"/>
  <c r="H53" i="2"/>
  <c r="D53" i="2"/>
  <c r="B53" i="2"/>
  <c r="D50" i="2"/>
  <c r="B50" i="2"/>
  <c r="D47" i="2"/>
  <c r="B47" i="2"/>
  <c r="B44" i="2"/>
  <c r="H29" i="2"/>
  <c r="D29" i="2"/>
  <c r="D31" i="2" s="1"/>
  <c r="B29" i="2"/>
  <c r="B31" i="2" s="1"/>
  <c r="D97" i="2" l="1"/>
  <c r="J55" i="12"/>
  <c r="J57" i="12"/>
  <c r="H97" i="2"/>
  <c r="B97" i="2"/>
  <c r="N99" i="8"/>
  <c r="N100" i="8" s="1"/>
  <c r="N105" i="8" s="1"/>
  <c r="N109" i="8" s="1"/>
  <c r="H31" i="2"/>
  <c r="H121" i="2"/>
  <c r="D16" i="5"/>
  <c r="D19" i="5" s="1"/>
  <c r="D22" i="5" s="1"/>
  <c r="A5" i="9" l="1"/>
  <c r="A136" i="2" s="1"/>
  <c r="A138" i="2" s="1"/>
  <c r="G99" i="2"/>
  <c r="N99" i="2"/>
  <c r="L99" i="2"/>
  <c r="F99" i="2"/>
  <c r="H99" i="2"/>
  <c r="H109" i="2" s="1"/>
  <c r="P99" i="2"/>
  <c r="E99" i="2"/>
  <c r="E109" i="2" s="1"/>
  <c r="M99" i="2"/>
  <c r="J99" i="2"/>
  <c r="B99" i="2"/>
  <c r="B109" i="2" s="1"/>
  <c r="D99" i="2"/>
  <c r="D109" i="2" s="1"/>
  <c r="K99" i="2"/>
  <c r="B16" i="5"/>
  <c r="H16" i="5"/>
  <c r="H19" i="5" s="1"/>
  <c r="H22" i="5" s="1"/>
  <c r="K109" i="2" l="1"/>
  <c r="K130" i="2" s="1"/>
  <c r="P109" i="2"/>
  <c r="P130" i="2" s="1"/>
  <c r="F109" i="2"/>
  <c r="F130" i="2" s="1"/>
  <c r="M109" i="2"/>
  <c r="M130" i="2" s="1"/>
  <c r="J109" i="2"/>
  <c r="J130" i="2" s="1"/>
  <c r="L109" i="2"/>
  <c r="L130" i="2" s="1"/>
  <c r="N109" i="2"/>
  <c r="N130" i="2" s="1"/>
  <c r="G109" i="2"/>
  <c r="G130" i="2" s="1"/>
  <c r="H130" i="2"/>
  <c r="B130" i="2"/>
  <c r="J16" i="5"/>
  <c r="B19" i="5"/>
  <c r="B133" i="2" l="1"/>
  <c r="A142" i="2" s="1"/>
  <c r="J19" i="5"/>
  <c r="B22" i="5"/>
  <c r="B25" i="5" l="1"/>
  <c r="L64" i="8" s="1"/>
  <c r="L104" i="8" l="1"/>
  <c r="L61" i="8"/>
  <c r="L70" i="8"/>
  <c r="D25" i="5"/>
  <c r="M64" i="8" s="1"/>
  <c r="H25" i="5"/>
  <c r="O64" i="8" s="1"/>
  <c r="L62" i="8" l="1"/>
  <c r="L68" i="8" s="1"/>
  <c r="L72" i="8" s="1"/>
  <c r="O104" i="8"/>
  <c r="O61" i="8"/>
  <c r="O62" i="8" s="1"/>
  <c r="O68" i="8"/>
  <c r="M104" i="8"/>
  <c r="M61" i="8"/>
  <c r="M62" i="8" s="1"/>
  <c r="M68" i="8" s="1"/>
  <c r="M72" i="8" s="1"/>
  <c r="L99" i="8"/>
  <c r="P64" i="8"/>
  <c r="J25" i="5"/>
  <c r="L100" i="8" l="1"/>
  <c r="O99" i="8"/>
  <c r="O100" i="8" s="1"/>
  <c r="O105" i="8"/>
  <c r="O72" i="8"/>
  <c r="P104" i="8"/>
  <c r="P68" i="8"/>
  <c r="P69" i="8" s="1"/>
  <c r="M99" i="8"/>
  <c r="M100" i="8" s="1"/>
  <c r="M105" i="8" s="1"/>
  <c r="M109" i="8" s="1"/>
  <c r="P61" i="8"/>
  <c r="P62" i="8" s="1"/>
  <c r="P102" i="8" s="1"/>
  <c r="O109" i="8" l="1"/>
  <c r="F70" i="8"/>
  <c r="G70" i="8" s="1"/>
  <c r="L105" i="8"/>
  <c r="P105" i="8" s="1"/>
  <c r="P106" i="8" s="1"/>
  <c r="P99" i="8"/>
  <c r="P100" i="8" s="1"/>
  <c r="G72" i="8" l="1"/>
  <c r="H70" i="8"/>
  <c r="H72" i="8" s="1"/>
  <c r="F107" i="8"/>
  <c r="L109" i="8"/>
  <c r="F72" i="8"/>
  <c r="I70" i="8" l="1"/>
  <c r="I72" i="8" s="1"/>
  <c r="F109" i="8"/>
  <c r="G107" i="8"/>
  <c r="G109" i="8" s="1"/>
  <c r="J70" i="8" l="1"/>
  <c r="J72" i="8" s="1"/>
  <c r="H107" i="8"/>
  <c r="H109" i="8" s="1"/>
  <c r="I107" i="8" l="1"/>
  <c r="I109" i="8" s="1"/>
  <c r="K70" i="8"/>
  <c r="K72" i="8" s="1"/>
  <c r="P72" i="8" s="1"/>
  <c r="F27" i="5"/>
  <c r="F29" i="5" s="1"/>
  <c r="B27" i="5"/>
  <c r="B29" i="5" s="1"/>
  <c r="D27" i="5"/>
  <c r="D29" i="5" s="1"/>
  <c r="H27" i="5"/>
  <c r="J107" i="8" l="1"/>
  <c r="J109" i="8" s="1"/>
  <c r="P70" i="8"/>
  <c r="H29" i="5"/>
  <c r="J29" i="5" s="1"/>
  <c r="J27" i="5"/>
  <c r="K107" i="8" l="1"/>
  <c r="K109" i="8" s="1"/>
  <c r="P109" i="8" s="1"/>
  <c r="P71" i="8"/>
  <c r="P74" i="8" s="1"/>
  <c r="P107" i="8" l="1"/>
  <c r="P10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tc={69EFE4AA-002B-4AEA-94B4-467EBF69F033}</author>
  </authors>
  <commentList>
    <comment ref="A8" authorId="0" shapeId="0" xr:uid="{69EFE4AA-002B-4AEA-94B4-467EBF69F033}">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Für die Zwecke dieser Leitlinien gilt ein Unternehmen dann als Unternehmen in Schwierigkeiten, wenn es auf kurze oder mittlere Sicht so gut wie sicher zur Einstellung seiner Geschäftstätigkeiten gezwungen sein wird, wenn der Staat nicht eingreift. Im Sinne dieser Leitlinien befindet sich ein Unternehmen daher dann in Schwierigkeiten, wenn mindestens eine der folgenden Voraussetzungen erfüllt ist:
a) Im Falle von Gesellschaften mit beschränkter Haftung: Mehr als die Hälfte des gezeichneten Stammkapitals ist infolge aufgelaufener Verluste verlorengegangen. 
Dies ist der Fall, wenn sich nach Abzug der aufgelaufenen Verluste von den Rücklagen (und allen sonstigen Elementen, die im Allgemeinen den Eigenmitteln des Unternehmens zugerechnet werden) ein negativer kumulativer Betrag ergibt, der mehr als der Hälfte des gezeichneten Stammkapitals entspricht.
b) Im Falle von Gesellschaften, bei denen zumindest einige Gesellschafter unbeschränkt für die Schulden der Gesellschaft haften: Mehr als die Hälfte der in den Geschäftsbüchern ausgewiesenen Eigenmittel ist infolge aufgelaufener Verluste verlorengegangen.
c) Das Unternehmen ist Gegenstand eines Insolvenzverfahrens oder erfüllt die im innerstaatlichen Recht vorgesehenen Voraussetzungen für die Eröffnung eines Insolvenzverfahrens auf Antrag seiner Gläubiger.
Unter „Unternehmen in Schwierigkeiten“ werden in Schwierigkeiten befindliche Unternehmen im Sinne der Randnummer 20 dieser Leitlinien verstanden, und ein KMU wird in den ersten drei Jahren nach seiner Gründung nur dann als Unternehmen in Schwierigkeiten betrachtet, wenn es Gegenstand eines Insolvenzverfahrens 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tc={B6756020-2B93-4CF6-8365-1A0787BA1AA7}</author>
    <author>tc={1907820B-0634-4704-98A2-A65B6EA3C68E}</author>
    <author>tc={82FBE957-2469-4F4B-B62E-DD2DB724A399}</author>
    <author>tc={5F642A0D-D676-43CA-A161-609AB26F4949}</author>
    <author>tc={F0DC45AE-4B87-425E-925C-590D5DEC1276}</author>
    <author>tc={7A0CDF0D-91DE-4AE8-BBF9-5AAA77237705}</author>
    <author>tc={C7D57D72-EA6E-49E7-9242-A96929BD4A0A}</author>
    <author>tc={B01E2F08-2359-4339-A589-959FF48162A7}</author>
    <author>tc={D64501E4-E6F8-4963-90CB-587AD6A7B9D0}</author>
    <author>tc={1A99878D-A7A6-4D17-A39C-DFF6AAEDDA14}</author>
    <author>tc={0F94C168-A0AC-462A-A49D-44C4256C20F3}</author>
    <author>tc={A585902E-43B7-4F04-A267-240E4501D557}</author>
    <author>tc={A7505AF0-0720-43A8-ACEF-663472E27DA1}</author>
    <author>tc={462563F6-0ACF-4F0D-A04D-9E44FA59D9DB}</author>
    <author>tc={7DC9A3D6-3585-4F0F-BA90-41F6B90B744D}</author>
    <author>tc={1B55D121-ED23-4241-8BE1-980F0CBD5640}</author>
    <author>tc={B0BC4FB5-C9F5-4385-8837-9D2609CDBD84}</author>
    <author>tc={9BAE2DE6-7D2F-4D29-97F0-502AA0C7682D}</author>
    <author>tc={B5524302-7CDF-4E68-93BB-5AD19B968EEE}</author>
    <author>tc={40D008BF-3D50-4CFD-B9DF-F6BEE80FB171}</author>
    <author>tc={631D2B8B-7C6F-471C-BAB6-BC752480E14A}</author>
    <author>tc={3E3EB309-2D28-4EE7-B61A-1772DB6CD88F}</author>
    <author>tc={D8749F2F-60D3-42CF-864F-6E9CA290BDE5}</author>
    <author>tc={60B94D98-74B1-4794-9CC7-0140A4D3CE6D}</author>
    <author>tc={1223010B-05AC-4BCE-BDD0-75B6C7B47918}</author>
    <author>tc={C765ECD6-A48F-45C6-9786-94DA83B9A0F9}</author>
    <author>tc={44BB90EA-F26D-4318-A378-6473F8FE9957}</author>
    <author>tc={0666D09D-E5BB-4F2C-B24D-94031C352D5A}</author>
    <author>tc={C920A6B2-D22B-4B46-BDC2-C12ED7F9F84F}</author>
    <author>tc={9E1F0EBA-D3E8-4C98-90FA-5160480E20BD}</author>
    <author>tc={D0704892-BBE8-4EE8-85CE-567C9DFCA7E3}</author>
  </authors>
  <commentList>
    <comment ref="A44" authorId="0" shapeId="0" xr:uid="{B6756020-2B93-4CF6-8365-1A0787BA1AA7}">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Mieten und Pachten für Gebäude, Grundstücke und Räumlichkeiten, die in unmittelbarem Zusammenhang mit der Geschäftstätigkeit des Unternehmens stehen inklusive Mietnebenkosten (soweit nicht unter Nr. 6 dieser Tabelle erfasst).
• Kosten für ein häusliches Arbeitszimmer, wenn sie bereits 2019 in entsprechender Form steuerlich abgesetzt worden sind/werden (volle steuerlich absetzbare Kosten, anteilig für die Fördermonate)</t>
        </r>
      </text>
    </comment>
    <comment ref="A46" authorId="1" shapeId="0" xr:uid="{1907820B-0634-4704-98A2-A65B6EA3C68E}">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(Leasinggeber bleibt wirtschaftlicher Eigentümer, zB. "normales KfZ-km-Leasing)</t>
        </r>
      </text>
    </comment>
    <comment ref="A47" authorId="2" shapeId="0" xr:uid="{82FBE957-2469-4F4B-B62E-DD2DB724A399}">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Miete von Fahrzeugen und Maschinen, die betrieblich genutzt werden, entsprechend ihres nach steuerlichen Vorschriften ermittelten Nutzungsanteils (inkl. Operating Leasing / Mietkaufverträge</t>
        </r>
      </text>
    </comment>
    <comment ref="A50" authorId="3" shapeId="0" xr:uid="{5F642A0D-D676-43CA-A161-609AB26F4949}">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Stundungszinsen bei Tilgungsaussetzung
• Zahlungen für die Kapitalüberlassung an Kreditgeber der Unternehmung, mit denen ein Kreditvertrag abgeschlossen worden ist (z.B. für Bankkredite)
• Kontokorrentzinsen</t>
        </r>
      </text>
    </comment>
    <comment ref="A53" authorId="4" shapeId="0" xr:uid="{F0DC45AE-4B87-425E-925C-590D5DEC1276}">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Leasingnehmer ist wirtschaftlicher Eigentümer -&gt; Wirtschaftsgut wird bei Leasingnehmer bilanziert - Aufwand für den Finanzierungskostenanteil für Finanzierungsleasingverträge
(Wenn keine vertragliche Festlegung oder keine Information der Leasinggesellschaft vorliegen, kann der Finanzierungskostenanteil durch die Zinszahlenstaffelmethode ermittelt werden. Alternativ können pauschal 2 % der Monatsraten erfasst werden.</t>
        </r>
      </text>
    </comment>
    <comment ref="A54" authorId="5" shapeId="0" xr:uid="{7A0CDF0D-91DE-4AE8-BBF9-5AAA77237705}">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gewarteter Vermögensgegenstand muss am 31.12.20. bereits im Anlagevermögen / in Nutzung gewesen sein</t>
        </r>
      </text>
    </comment>
    <comment ref="A58" authorId="6" shapeId="0" xr:uid="{C7D57D72-EA6E-49E7-9242-A96929BD4A0A}">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Zahlungen für notwendige Instandhaltung, Wartung oder Einlagerung von Anlagevermögen und gemieteten Vermögensgegenständen die bereits am 31.12. im Betrieb genutzt wurden, einschließlich der EDV, sofern diese aufwandswirksam sind (= Erhaltungs-aufwand), abgerechnet wurden ((Teil-)Rechnung liegt vor und nicht erstattet werden (z.B. durch Versicherungs-leistungen)).</t>
        </r>
      </text>
    </comment>
    <comment ref="A65" authorId="7" shapeId="0" xr:uid="{B01E2F08-2359-4339-A589-959FF48162A7}">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Inklusive Kosten für Kälte und Gas
• Zur Berücksichtigung der besonderen Corona-Situation werden hier auch Hygienemaßnahmen einschließlich investive Maßnahmen berücksichtigt, die nicht vor dem 1. September 2020 begründet sind (z.B. die Anschaffung mobiler Luftfilteranlagen und die Nachrüstung bereits bestehender stationärer Luftfilteranlagen, Maßnahmen zur temporären Verlagerung des Geschäftsbetriebs in Außenbereiche).</t>
        </r>
      </text>
    </comment>
    <comment ref="A71" authorId="8" shapeId="0" xr:uid="{D64501E4-E6F8-4963-90CB-587AD6A7B9D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zum Beispiel für IT-Programme
• Zahlungen für Lizenzen für die Nutzung von gewerblichen Schutzrechten, Patenten, etc.</t>
        </r>
      </text>
    </comment>
    <comment ref="A91" authorId="9" shapeId="0" xr:uid="{1A99878D-A7A6-4D17-A39C-DFF6AAEDDA14}">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für betrieblich notwendige Tiere (z. B. im Falle von Zirkus- und Zoounternehmen), maximal in Höhe der Kosten im Vorjahreszeitraum</t>
        </r>
      </text>
    </comment>
    <comment ref="A94" authorId="10" shapeId="0" xr:uid="{0F94C168-A0AC-462A-A49D-44C4256C20F3}">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
Kosten in Zusammenhang mit der Antragstellung (u. a. Kosten für die Plausibilisierung der Angaben sowie Erstellung des Antrags) und Schlussabrechnung (Schätzung)
• Kosten für Beratungsleistungen in Zusammenhang mit Überbrückungshilfe (2. Phase) (Schätzung)
• Kosten für weitere Leistungen in Zusammenhang mit Corona-Hilfen, sofern diese im Rahmen der Beantragung der Corona-Überbrückungshilfe (2. Phase) anfallen (z.B. Abgrenzungsfragen bei der Beantragung von Überbrückungskrediten). (Schätzung)</t>
        </r>
      </text>
    </comment>
    <comment ref="B94" authorId="11" shapeId="0" xr:uid="{A585902E-43B7-4F04-A267-240E4501D557}">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D94" authorId="12" shapeId="0" xr:uid="{A7505AF0-0720-43A8-ACEF-663472E27DA1}">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F94" authorId="13" shapeId="0" xr:uid="{462563F6-0ACF-4F0D-A04D-9E44FA59D9DB}">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H94" authorId="14" shapeId="0" xr:uid="{7DC9A3D6-3585-4F0F-BA90-41F6B90B744D}">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J94" authorId="15" shapeId="0" xr:uid="{1B55D121-ED23-4241-8BE1-980F0CBD564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L94" authorId="16" shapeId="0" xr:uid="{B0BC4FB5-C9F5-4385-8837-9D2609CDBD84}">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N94" authorId="17" shapeId="0" xr:uid="{9BAE2DE6-7D2F-4D29-97F0-502AA0C7682D}">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P94" authorId="18" shapeId="0" xr:uid="{B5524302-7CDF-4E68-93BB-5AD19B968EEE}">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A98" authorId="19" shapeId="0" xr:uid="{40D008BF-3D50-4CFD-B9DF-F6BEE80FB171}">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Lohnkosten inklusive Sozialversicherungsbeiträgen
• Unmittelbar mit der Ausbildung verbundene Kosten wie z. B. Berufsschulkosten
• Kosten für FSJ’ler, FÖJ‘ler und BFD’ler (nur Eigenanteil)
• Kosten für Dual Studierende (Voraussetzung: Ausbildungsvertrag für gesamte Dauer der Ausbildung mit Ausbildungsvergütung)</t>
        </r>
      </text>
    </comment>
    <comment ref="A99" authorId="20" shapeId="0" xr:uid="{631D2B8B-7C6F-471C-BAB6-BC752480E14A}">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Zuschlag auch auf AfA, Modernisierung, Digitalisierung, Marketing nach FAQ</t>
        </r>
      </text>
    </comment>
    <comment ref="A100" authorId="21" shapeId="0" xr:uid="{3E3EB309-2D28-4EE7-B61A-1772DB6CD88F}">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Für Reisebüros: Provisionen für stornierte Pauschalreisen. Es wird unwiderleglich vermutet, dass die Inhaber von Reisebüros den Reiseveranstaltern die Provisionen aufgrund Corona-bedingter Stornierungen zurückgezahlt oder zurückzuzahlen haben bzw. die Provisionen wegen einer Corona-bedingten Stornierung einer Pauschalreise ausbleiben. Reisebüros im Sinne der Überbrückungshilfe sind alle Vermittler von Pauschalreisen, unabhängig davon, ob die Vermittlung im stationären Vertrieb erfolgt.
• Für Reiseveranstalter bis 249 MA: kalkulierte Margen analog §25 UStG für stornierte Pauschalreisen. Es wird dann unwiderleglich vermutet, dass die Margen Corona-bedingt nicht realisiert werden konnten. Die kalkulierte Veranstalter-Marge ist um die kalkulierten Reisebüro-Provisionen zu vermindern, wenn die Reise über ein Reisebüro verkauft wurde.
• Bei der Antragstellung sind die Provisionen bzw. die kalkulierten Margen für stornierte Reisen grundsätzlich im Monat des Reiseantritts geltend zu machen. Die Provisionen bzw. kalkulierten Margen für stornierte Reisen mit
Buchungsdatum ab dem 18. März 2020 und mit Reiseantritt bis 31. August 2020 sind den Fördermonaten September bis Dezember zu gleichen Teilen zuzuschlagen oder im ersten Fördermonat anzusetzen (Wahlrecht).
Diese Kostenposition kann nur von Reisebüros und Reiseveranstaltern geltend gemacht werden.</t>
        </r>
      </text>
    </comment>
    <comment ref="A101" authorId="22" shapeId="0" xr:uid="{D8749F2F-60D3-42CF-864F-6E9CA290BDE5}">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zeitliche Zuordnung nach Belieben</t>
        </r>
      </text>
    </comment>
    <comment ref="A102" authorId="23" shapeId="0" xr:uid="{60B94D98-74B1-4794-9CC7-0140A4D3CE6D}">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zeitliche Zuordnung nach Belieben</t>
        </r>
      </text>
    </comment>
    <comment ref="A103" authorId="24" shapeId="0" xr:uid="{1223010B-05AC-4BCE-BDD0-75B6C7B47918}">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zeitliche Zuordnung nach Belieben</t>
        </r>
      </text>
    </comment>
    <comment ref="A104" authorId="25" shapeId="0" xr:uid="{C765ECD6-A48F-45C6-9786-94DA83B9A0F9}">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vor dem 01.01.2021 beauftragt</t>
        </r>
      </text>
    </comment>
    <comment ref="A106" authorId="26" shapeId="0" xr:uid="{44BB90EA-F26D-4318-A378-6473F8FE9957}">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siehe Reiter Ermittlung TW-AfA</t>
        </r>
      </text>
    </comment>
    <comment ref="A107" authorId="27" shapeId="0" xr:uid="{0666D09D-E5BB-4F2C-B24D-94031C352D5A}">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Gilt für: Unternehmen der Pyrotechnikindustrie, die unmittelbar vom Verkaufsverbot für Pyrotechnik im Dezember 2020 betroffen sind und einen Umsatzeinbruch von mindestens 80 Prozent ggü. dem Vorjahresmonat erlitten haben.</t>
        </r>
      </text>
    </comment>
    <comment ref="A108" authorId="28" shapeId="0" xr:uid="{C920A6B2-D22B-4B46-BDC2-C12ED7F9F84F}">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Gilt für: Unternehmen der Pyrotechnikindustrie, die unmittelbar vom Verkaufsverbot für Pyrotechnik im Dezember 2020 betroffen sind und einen Umsatzeinbruch von mindestens 80 Prozent ggü. dem Vorjahresmonat erlitten haben.</t>
        </r>
      </text>
    </comment>
    <comment ref="A112" authorId="29" shapeId="0" xr:uid="{9E1F0EBA-D3E8-4C98-90FA-5160480E20BD}">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Wenn die Beschäftigung im Unternehmen saisonal oder projektbezogen stark schwankt, kann die Beschäftigtenzahl alternativ ermittelt werden als:
a) der Jahresdurchschnitt der Beschäftigten in 2019
oder
b) Beschäftigte im jeweiligen Monat des Vorjahres oder eines anderen Vorjahresmonats im Rahmen der Fördermonate (Juni – August 2019).</t>
        </r>
      </text>
    </comment>
    <comment ref="A123" authorId="30" shapeId="0" xr:uid="{D0704892-BBE8-4EE8-85CE-567C9DFCA7E3}">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Dem Unternehmen müssen hierfür Personalkosten entstehen (es dürfen nicht alle Angestellten in kompletter Kurzarbeit sein).
Nicht durch KUG erfasste Personalkosten: Personalkosten für Mitarbeiter, die nicht in 100% KUG sind, Minijobber, Aufstockung KUG gezahlt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tc={77808A07-E286-4FBE-A884-566E1BEF013B}</author>
    <author>tc={105290EE-CA50-4F4F-BB7A-1C4D86938464}</author>
    <author>tc={332C7B1D-69DD-44A1-A825-1DC81DF39385}</author>
    <author>tc={8FB7428A-E2AF-46E6-A47B-A704BC1CDFC5}</author>
    <author>tc={10A49E71-EFC9-464A-B747-E8DB25908923}</author>
    <author>tc={179B1C65-AFFF-4E4A-8AFB-D59A283ACB3C}</author>
    <author>tc={8DC590EC-C5EC-4E46-BEA9-F3FEDFDD46EF}</author>
    <author>tc={3B7DB1D5-591E-4571-8623-C1D235D6B990}</author>
    <author>tc={BC10BF46-BDB0-49FA-91CE-ECE2C73ACF03}</author>
    <author>tc={05357C48-F043-480E-8132-98DE517AE3D1}</author>
    <author>tc={51D7DD4D-8EB1-4697-870B-AF49770156C5}</author>
    <author>tc={B9F0640E-5E0D-4BB7-AB89-F23208785E7A}</author>
    <author>tc={1C876211-DAFA-4A4A-AC14-3BF5E62EB45B}</author>
    <author>tc={48D0836F-8E6D-4D5A-A503-33E050F7A268}</author>
    <author>tc={27A9AC98-1B54-4559-8C0C-060B1F7573AD}</author>
    <author>tc={0680238D-1589-4308-85D4-A2DF30D54AA4}</author>
    <author>tc={EB9DF9AA-D930-4184-87BD-7F1D6A020CA6}</author>
    <author>tc={34EA48B8-7566-4A68-8040-AA1FD891BE69}</author>
    <author>tc={6471A123-A0E4-49C6-A0FF-8F573B624DFF}</author>
    <author>tc={F60BD195-EB4B-4D50-B2CD-E7C450C15001}</author>
    <author>tc={D341CF66-18D4-41E3-A768-85906736A903}</author>
    <author>tc={11CBD4E6-6905-41BB-A5BE-2164E0BB4478}</author>
    <author>tc={A3F1C39F-E294-47B4-B40A-16692567162D}</author>
    <author>tc={3C2541CA-DA76-4658-BED4-AF23FBAB6071}</author>
  </authors>
  <commentList>
    <comment ref="A14" authorId="0" shapeId="0" xr:uid="{77808A07-E286-4FBE-A884-566E1BEF013B}">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Mieten und Pachten für Gebäude, Grundstücke und Räumlichkeiten, die in unmittelbarem Zusammenhang mit der Geschäftstätigkeit des Unternehmens stehen inklusive Mietnebenkosten (soweit nicht unter Nr. 6 dieser Tabelle erfasst).
• Kosten für ein häusliches Arbeitszimmer, wenn sie bereits 2019 in entsprechender Form steuerlich abgesetzt worden sind/werden (volle steuerlich absetzbare Kosten, anteilig für die Fördermonate)</t>
        </r>
      </text>
    </comment>
    <comment ref="A16" authorId="1" shapeId="0" xr:uid="{105290EE-CA50-4F4F-BB7A-1C4D86938464}">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(Leasinggeber bleibt wirtschaftlicher Eigentümer, zB. "normales KfZ-km-Leasing)</t>
        </r>
      </text>
    </comment>
    <comment ref="A17" authorId="2" shapeId="0" xr:uid="{332C7B1D-69DD-44A1-A825-1DC81DF39385}">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Miete von Fahrzeugen und Maschinen, die betrieblich genutzt werden, entsprechend ihres nach steuerlichen Vorschriften ermittelten Nutzungsanteils (inkl. Operating Leasing / Mietkaufverträge</t>
        </r>
      </text>
    </comment>
    <comment ref="A20" authorId="3" shapeId="0" xr:uid="{8FB7428A-E2AF-46E6-A47B-A704BC1CDFC5}">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Stundungszinsen bei Tilgungsaussetzung
• Zahlungen für die Kapitalüberlassung an Kreditgeber der Unternehmung, mit denen ein Kreditvertrag abgeschlossen worden ist (z.B. für Bankkredite)
• Kontokorrentzinsen</t>
        </r>
      </text>
    </comment>
    <comment ref="A23" authorId="4" shapeId="0" xr:uid="{10A49E71-EFC9-464A-B747-E8DB25908923}">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Leasingnehmer ist wirtschaftlicher Eigentümer -&gt; Wirtschaftsgut wird bei Leasingnehmer bilanziert - Aufwand für den Finanzierungskostenanteil für Finanzierungsleasingverträge
(Wenn keine vertragliche Festlegung oder keine Information der Leasinggesellschaft vorliegen, kann der Finanzierungskostenanteil durch die Zinszahlenstaffelmethode ermittelt werden. Alternativ können pauschal 2 % der Monatsraten erfasst werden.</t>
        </r>
      </text>
    </comment>
    <comment ref="A24" authorId="5" shapeId="0" xr:uid="{179B1C65-AFFF-4E4A-8AFB-D59A283ACB3C}">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gewarteter Vermögensgegenstand muss am 30.08. bereits im Anlagevermögen / in Nutzung gewesen sein</t>
        </r>
      </text>
    </comment>
    <comment ref="A28" authorId="6" shapeId="0" xr:uid="{8DC590EC-C5EC-4E46-BEA9-F3FEDFDD46EF}">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Zahlungen für notwendige Instandhaltung, Wartung oder Einlagerung von Anlagevermögen und gemieteten Vermögensgegenständen die bereits am 30.08. im Betrieb genutzt wurden, einschließlich der EDV, sofern diese aufwandswirksam sind (= Erhaltungs-aufwand), abgerechnet wurden ((Teil-)Rechnung liegt vor und nicht erstattet werden (z.B. durch Versicherungs-leistungen)).</t>
        </r>
      </text>
    </comment>
    <comment ref="A35" authorId="7" shapeId="0" xr:uid="{3B7DB1D5-591E-4571-8623-C1D235D6B99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Inklusive Kosten für Kälte und Gas
• Zur Berücksichtigung der besonderen Corona-Situation werden hier auch Hygienemaßnahmen einschließlich investive Maßnahmen berücksichtigt, die nicht vor dem 1. September 2020 begründet sind (z.B. die Anschaffung mobiler Luftfilteranlagen und die Nachrüstung bereits bestehender stationärer Luftfilteranlagen, Maßnahmen zur temporären Verlagerung des Geschäftsbetriebs in Außenbereiche).</t>
        </r>
      </text>
    </comment>
    <comment ref="A41" authorId="8" shapeId="0" xr:uid="{BC10BF46-BDB0-49FA-91CE-ECE2C73ACF03}">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zum Beispiel für IT-Programme
• Zahlungen für Lizenzen für die Nutzung von gewerblichen Schutzrechten, Patenten, etc.</t>
        </r>
      </text>
    </comment>
    <comment ref="A61" authorId="9" shapeId="0" xr:uid="{05357C48-F043-480E-8132-98DE517AE3D1}">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für betrieblich notwendige Tiere (z. B. im Falle von Zirkus- und Zoounternehmen), maximal in Höhe der Kosten im Vorjahreszeitraum</t>
        </r>
      </text>
    </comment>
    <comment ref="A64" authorId="10" shapeId="0" xr:uid="{51D7DD4D-8EB1-4697-870B-AF49770156C5}">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
Kosten in Zusammenhang mit der Antragstellung (u. a. Kosten für die Plausibilisierung der Angaben sowie Erstellung des Antrags) und Schlussabrechnung (Schätzung)
• Kosten für Beratungsleistungen in Zusammenhang mit Überbrückungshilfe (2. Phase) (Schätzung)
• Kosten für weitere Leistungen in Zusammenhang mit Corona-Hilfen, sofern diese im Rahmen der Beantragung der Corona-Überbrückungshilfe (2. Phase) anfallen (z.B. Abgrenzungsfragen bei der Beantragung von Überbrückungskrediten). (Schätzung)</t>
        </r>
      </text>
    </comment>
    <comment ref="B64" authorId="11" shapeId="0" xr:uid="{B9F0640E-5E0D-4BB7-AB89-F23208785E7A}">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D64" authorId="12" shapeId="0" xr:uid="{1C876211-DAFA-4A4A-AC14-3BF5E62EB45B}">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F64" authorId="13" shapeId="0" xr:uid="{48D0836F-8E6D-4D5A-A503-33E050F7A268}">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H64" authorId="14" shapeId="0" xr:uid="{27A9AC98-1B54-4559-8C0C-060B1F7573AD}">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J64" authorId="15" shapeId="0" xr:uid="{0680238D-1589-4308-85D4-A2DF30D54AA4}">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L64" authorId="16" shapeId="0" xr:uid="{EB9DF9AA-D930-4184-87BD-7F1D6A020CA6}">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N64" authorId="17" shapeId="0" xr:uid="{34EA48B8-7566-4A68-8040-AA1FD891BE69}">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P64" authorId="18" shapeId="0" xr:uid="{6471A123-A0E4-49C6-A0FF-8F573B624DFF}">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Ansatz der Steuerberatungskosten im ersten Fördermonat, für den ein Zuschuss gezahlt wird, im Monat der Fälligkeit oder gleichmäßig in allen Fördermonaten.</t>
        </r>
      </text>
    </comment>
    <comment ref="A68" authorId="19" shapeId="0" xr:uid="{F60BD195-EB4B-4D50-B2CD-E7C450C15001}">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Lohnkosten inklusive Sozialversicherungsbeiträgen
• Unmittelbar mit der Ausbildung verbundene Kosten wie z. B. Berufsschulkosten
• Kosten für FSJ’ler, FÖJ‘ler und BFD’ler (nur Eigenanteil)
• Kosten für Dual Studierende (Voraussetzung: Ausbildungsvertrag für gesamte Dauer der Ausbildung mit Ausbildungsvergütung)</t>
        </r>
      </text>
    </comment>
    <comment ref="A69" authorId="20" shapeId="0" xr:uid="{D341CF66-18D4-41E3-A768-85906736A903}">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Zuschlag auch auf AfA, Modernisierung, Digitalisierung, Marketing nach FAQ</t>
        </r>
      </text>
    </comment>
    <comment ref="A70" authorId="21" shapeId="0" xr:uid="{11CBD4E6-6905-41BB-A5BE-2164E0BB4478}">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Für Reisebüros: Provisionen für stornierte Pauschalreisen. Es wird unwiderleglich vermutet, dass die Inhaber von Reisebüros den Reiseveranstaltern die Provisionen aufgrund Corona-bedingter Stornierungen zurückgezahlt oder zurückzuzahlen haben bzw. die Provisionen wegen einer Corona-bedingten Stornierung einer Pauschalreise ausbleiben. Reisebüros im Sinne der Überbrückungshilfe sind alle Vermittler von Pauschalreisen, unabhängig davon, ob die Vermittlung im stationären Vertrieb erfolgt.
• Für Reiseveranstalter bis 249 MA: kalkulierte Margen analog §25 UStG für stornierte Pauschalreisen. Es wird dann unwiderleglich vermutet, dass die Margen Corona-bedingt nicht realisiert werden konnten. Die kalkulierte Veranstalter-Marge ist um die kalkulierten Reisebüro-Provisionen zu vermindern, wenn die Reise über ein Reisebüro verkauft wurde.
• Bei der Antragstellung sind die Provisionen bzw. die kalkulierten Margen für stornierte Reisen grundsätzlich im Monat des Reiseantritts geltend zu machen. Die Provisionen bzw. kalkulierten Margen für stornierte Reisen mit
Buchungsdatum ab dem 18. März 2020 und mit Reiseantritt bis 31. August 2020 sind den Fördermonaten September bis Dezember zu gleichen Teilen zuzuschlagen oder im ersten Fördermonat anzusetzen (Wahlrecht).
Diese Kostenposition kann nur von Reisebüros und Reiseveranstaltern geltend gemacht werden.</t>
        </r>
      </text>
    </comment>
    <comment ref="A78" authorId="22" shapeId="0" xr:uid="{A3F1C39F-E294-47B4-B40A-16692567162D}">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Wenn die Beschäftigung im Unternehmen saisonal oder projektbezogen stark schwankt, kann die Beschäftigtenzahl alternativ ermittelt werden als:
a) der Jahresdurchschnitt der Beschäftigten in 2019
oder
b) Beschäftigte im jeweiligen Monat des Vorjahres oder eines anderen Vorjahresmonats im Rahmen der Fördermonate (Juni – August 2019).</t>
        </r>
      </text>
    </comment>
    <comment ref="A89" authorId="23" shapeId="0" xr:uid="{3C2541CA-DA76-4658-BED4-AF23FBAB6071}">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Dem Unternehmen müssen hierfür Personalkosten entstehen (es dürfen nicht alle Angestellten in kompletter Kurzarbeit sein).
Nicht durch KUG erfasste Personalkosten: Personalkosten für Mitarbeiter, die nicht in 100% KUG sind, Minijobber, Aufstockung KUG gezahlt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tc={B2EBBD20-5409-49E9-93EE-3522B2D1F084}</author>
    <author>tc={EDD98EC7-3BBD-44A2-8DA1-FEEDCED11ABF}</author>
    <author>tc={F197E63D-A581-4730-818B-0B16B450C512}</author>
  </authors>
  <commentList>
    <comment ref="B5" authorId="0" shapeId="0" xr:uid="{B2EBBD20-5409-49E9-93EE-3522B2D1F084}">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Bezeichnung der Warenpositionen, zB. Weihnachtsartikel, Feuerwerkskörper und Winterkleidung, verderbliche Ware.</t>
        </r>
      </text>
    </comment>
    <comment ref="D5" authorId="1" shapeId="0" xr:uid="{EDD98EC7-3BBD-44A2-8DA1-FEEDCED11ABF}">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inkl. Anschaffungsnebenkosten, ohne sonstige Kosten</t>
        </r>
      </text>
    </comment>
    <comment ref="E5" authorId="2" shapeId="0" xr:uid="{F197E63D-A581-4730-818B-0B16B450C512}">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voraussichtliche Veräusserungserlöse, geschätzt, mind. 10% der AK, ausser bei Spende an gemeinnützigen Empfänger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tc={CE4EA88C-2C23-4A31-BBD1-97A36536376F}</author>
    <author>tc={7D0775D5-B2CA-493A-9971-A958157C1F96}</author>
    <author>tc={66ACD0AB-8B23-41A1-9649-023DE37A87A3}</author>
    <author>tc={62657B9A-C020-430C-A29F-086AB75EB5CE}</author>
    <author>tc={93346E1A-628E-481C-9950-438238D73D1C}</author>
    <author>tc={006992BC-1A6C-42F8-8548-53409BAB9669}</author>
    <author>tc={7FCB772B-85C4-4B6F-9636-7BF3ACE7DDB9}</author>
    <author>tc={D6FCAABB-DF8E-483F-B28C-55DF43CBB381}</author>
    <author>tc={474AE6E9-1E01-40D2-B8F2-00DD716B2B37}</author>
    <author>tc={F7B6701A-D168-4ED1-9BAD-70208A3EDA47}</author>
  </authors>
  <commentList>
    <comment ref="B7" authorId="0" shapeId="0" xr:uid="{CE4EA88C-2C23-4A31-BBD1-97A36536376F}">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Deckungsbeitrag nur wenn positiv, da sonst kein Deckungsbeitrag zu den Fixkosten</t>
        </r>
      </text>
    </comment>
    <comment ref="A8" authorId="1" shapeId="0" xr:uid="{7D0775D5-B2CA-493A-9971-A958157C1F96}">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zusätzliches Kostendeckungspotential</t>
        </r>
      </text>
    </comment>
    <comment ref="A9" authorId="2" shapeId="0" xr:uid="{66ACD0AB-8B23-41A1-9649-023DE37A87A3}">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hier jegliche Corona-Beihilfe mit Zuschuß-Charakter eintragen, aber nicht: Darlehen, Kurzarbeitergeld</t>
        </r>
      </text>
    </comment>
    <comment ref="A12" authorId="3" shapeId="0" xr:uid="{62657B9A-C020-430C-A29F-086AB75EB5CE}">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Zur Bestimmung des Verlusts können alle Fixkosten herangezogen werden – also auch solche, die im Rahmen der Überbrückungshilfe nicht förderfähig sind (und daher nicht in der Liste unter 2.4 FAQ zur Überbrückungshilfe II aufgeführt sind).</t>
        </r>
      </text>
    </comment>
    <comment ref="A13" authorId="4" shapeId="0" xr:uid="{93346E1A-628E-481C-9950-438238D73D1C}">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im Rahmen der Höchstbetragsermittlung in voller Höhe berücksichtigungsfähig.
Kurzarbeitergeld müssen Unternehmen insoweit bei der Bestimmung ihrer ungedeckten Fixkosten berücksichtigen, als dadurch ihre Personalkosten verringert werden.</t>
        </r>
      </text>
    </comment>
    <comment ref="A32" authorId="5" shapeId="0" xr:uid="{006992BC-1A6C-42F8-8548-53409BAB9669}">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Im Rahmen der Überbrückungshilfe II sind sämtliche Kosten, die durch die Überbrückungshilfe II förderfähig sind, in diesem Sinne den Fixkosten gleichgestellt. Solche Kosten dürfen auch dann bei der Ermittlung der ungedeckten Fixkosten berücksichtigt werden, wenn sie üblicherweise nicht Teil einer steuerlichen Gewinn- und Verlustrechnung oder einer handelsüblichen Ausweisung der Gewinne und Verluste sind.</t>
        </r>
      </text>
    </comment>
    <comment ref="A33" authorId="6" shapeId="0" xr:uid="{7FCB772B-85C4-4B6F-9636-7BF3ACE7DDB9}">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Tilgungszahlungen bis zur Höhe der steuerlichen Abschreibungen können als regulärer Teil der steuerlichen Gewinn- und Verlustrechnung bei der Bestimmung der ungedeckten Fixkosten berücksichtigt werden.
Tilgungszahlungen: Diese können bis zur Höhe der steuerlichen Abschreibung als regulärer Teil der steuerlichen Gewinn- und Verlustrechnung bei der Bestimmung der ungedeckten Fixkosten berücksichtigt werden. Sofern eine individuell vereinbarte Tilgung höher sein sollte als die Abschreibung, muss der Betrag entsprechend „gedeckelt“ werden. Es ist nicht möglich, die Tilgungszahlung zusätzlich zur Abschreibung zu berücksichtigen.</t>
        </r>
      </text>
    </comment>
    <comment ref="A34" authorId="7" shapeId="0" xr:uid="{D6FCAABB-DF8E-483F-B28C-55DF43CBB381}">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Die Pfändungsfreigrenze beträgt hiernach grundsätzlich 1.178,59 EUR monatlich.
Sofern gesetzliche Unterhaltspflichten bestehen, erhöht sich dieser Betrag um 443,57 EUR monatlich für die erste unterhaltspflichtige Person, 247,12 EUR monatlich für die zweite bis fünfte unterhaltspflichtige Person, bis zu maximal 2.610,63 EUR monatlich.
Sofern der Gewinn im angesetzten Monat den o.g. Betrag übersteigt, darf der überschießende Teil in Höhe von drei Zehnteln, oder, wenn Unterhaltspflichten bestehen, zu zwei weiteren Zehnteln für die erste Person, der Unterhalt gewährt wird, und je einem weiteren Zehntel für die zweite bis fünfte Person aufsummiert werden. Maximal ansetzbar sind hier 3.613,08 EUR monatlich.
Achtung: Die obenstehenden Beträge sind Nettobeträge. Um diese an Bruttowerte anzugleichen, ist zur Berücksichtigung von Sozialversicherungsbeiträgen und Steuern jeweils ein pauschaler Aufschlag um 40 Prozent zulässig. Alternativ kann aus Vereinfachungsgründen auch ein Pauschalbetrag in Höhe von 2.000 EUR brutto monatlich angesetzt werden.
Weitere Einnahmen aus anderen Quellen (z.B. aus Vermietung) mindern die Höhe des ansetzbaren fiktiven Unternehmerlohns an dieser Stelle nicht.</t>
        </r>
      </text>
    </comment>
    <comment ref="A43" authorId="8" shapeId="0" xr:uid="{474AE6E9-1E01-40D2-B8F2-00DD716B2B37}">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100 % TW-AfA Saisonware Textil, Feuerwerk, verderbliche Ware möglich !</t>
        </r>
      </text>
    </comment>
    <comment ref="L53" authorId="9" shapeId="0" xr:uid="{F7B6701A-D168-4ED1-9BAD-70208A3EDA47}">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Die Bestimmung des Gesamtverlusts aus allen berücksichtigten Monaten aus dem beihilfefähigen Zeitraum erfolgt durch einfache Summierung der Verluste zu einem Gesamtbetrag. Was von diesem Gesamtbetrag nach Anwendung auf ein Hilfsprogramm noch übrig bleibt, kann dann für weitere fixkostenbasierte Unterstützungsprogramme verwendet werden. Im obenstehenden Beispiel mit einem Verlust von März bis Dezember 2020 in Höhe von insg. 255.000 EUR, in dem das Unternehmen Überbrückungshilfe II in Höhe von beispielsweise 100.000 EUR beantragt hat, können die restlichen 155.000 EUR gesammelter Verluste z.B. für die Dezemberhilfe Plus angerechnet werden.</t>
        </r>
      </text>
    </comment>
  </commentList>
</comments>
</file>

<file path=xl/sharedStrings.xml><?xml version="1.0" encoding="utf-8"?>
<sst xmlns="http://schemas.openxmlformats.org/spreadsheetml/2006/main" count="695" uniqueCount="414">
  <si>
    <t>Gegenstand:</t>
  </si>
  <si>
    <t>Mandant</t>
  </si>
  <si>
    <t>Steuer Nr.</t>
  </si>
  <si>
    <t>Ort</t>
  </si>
  <si>
    <t>I. Voraussetzungen</t>
  </si>
  <si>
    <t>Summe</t>
  </si>
  <si>
    <t>Maßgeblich sind die Definitionen gem. EU-Leitlinie 2014/C 249/01</t>
  </si>
  <si>
    <r>
      <t xml:space="preserve">maßgebliche Umsatzerlöse </t>
    </r>
    <r>
      <rPr>
        <u/>
        <sz val="12"/>
        <rFont val="Arial"/>
        <family val="2"/>
      </rPr>
      <t>netto</t>
    </r>
  </si>
  <si>
    <t>Umsatzeinbruch  gg. VJ-Monat</t>
  </si>
  <si>
    <t>mehr als 70%</t>
  </si>
  <si>
    <t>zw. 50% -70%</t>
  </si>
  <si>
    <t xml:space="preserve">   =&gt; 40%  Erstattung der Fixkosten </t>
  </si>
  <si>
    <t>Hochrechnung Umsätze</t>
  </si>
  <si>
    <t>Umsatzeinbruch in %</t>
  </si>
  <si>
    <t xml:space="preserve">Erstattung der Fixkosten zu </t>
  </si>
  <si>
    <t>II. Ermittlung der Anspruchsberechtigung der Höhe nach</t>
  </si>
  <si>
    <t>2. Kalkulation der Fixkosten in den Monaten Juni bis August 2020</t>
  </si>
  <si>
    <t>1. Mieten/Pacht</t>
  </si>
  <si>
    <t>2. weitere Mietkosten</t>
  </si>
  <si>
    <t>Zinsaufwand Bankdarlehen</t>
  </si>
  <si>
    <t>Zinsaufwand sonstige Darlehen</t>
  </si>
  <si>
    <t>3. Zinsaufwendungen Kredite/Darlehen</t>
  </si>
  <si>
    <t>4. Finanzierungsanteile von Leasingkosten</t>
  </si>
  <si>
    <t xml:space="preserve">Leasingvertrag 1/ Finanzierungsanteil </t>
  </si>
  <si>
    <t xml:space="preserve">Leasingvertrag 2/ Finanzierungsanteil </t>
  </si>
  <si>
    <t>notwendige Instandhaltung Anlagevermögen</t>
  </si>
  <si>
    <t>Wartung/Einlagerung Anlageververmögen</t>
  </si>
  <si>
    <t>Wartung/Einlagerung gemietete VG</t>
  </si>
  <si>
    <t>notwendige Instandhaltung gemietete VG</t>
  </si>
  <si>
    <t>5. Instandhaltung, Wartung, Einlagerung</t>
  </si>
  <si>
    <t>Strom</t>
  </si>
  <si>
    <t>Wasser</t>
  </si>
  <si>
    <t>Heizkosten</t>
  </si>
  <si>
    <t>Reinigung</t>
  </si>
  <si>
    <t xml:space="preserve">Hygienemaßnahmen </t>
  </si>
  <si>
    <t>6. Energie, Reinigung, Hygiene</t>
  </si>
  <si>
    <t>Grundsteuern Objekt 1</t>
  </si>
  <si>
    <t>Grundsteuern Objekt 2</t>
  </si>
  <si>
    <t>7. Grundsteuern</t>
  </si>
  <si>
    <t>Lizenzen Vertrag 1</t>
  </si>
  <si>
    <t>Lizenzen Vertrag 2</t>
  </si>
  <si>
    <t>8. betriebliche Lizenzen</t>
  </si>
  <si>
    <t>Abonnements</t>
  </si>
  <si>
    <t>andere feste Ausgaben wie</t>
  </si>
  <si>
    <t>Telefonkosten</t>
  </si>
  <si>
    <t>Internetkosten</t>
  </si>
  <si>
    <t>Finanz-/Lohnbuchführung</t>
  </si>
  <si>
    <t>Grundbesitzabgaben</t>
  </si>
  <si>
    <t>Gema/Rundkunk</t>
  </si>
  <si>
    <t>Beiträge</t>
  </si>
  <si>
    <t>9. Versicherung, Abo´s, regelmäßig</t>
  </si>
  <si>
    <t>Zwischensumme lfd. Nr. 1-10</t>
  </si>
  <si>
    <t>11. Kosten für Auszubildende</t>
  </si>
  <si>
    <t>13. Provisionsrückzahlungen Reiseveranstalter</t>
  </si>
  <si>
    <t>Summe der berücksichtigungsfähigen Fixkosten</t>
  </si>
  <si>
    <t>kalkulierter Umsatzeinbruch in %</t>
  </si>
  <si>
    <t>3. Ermittlung der Mitarbeiterzahl per 29.02.2020 in VZÄ</t>
  </si>
  <si>
    <t>Inhaber ????</t>
  </si>
  <si>
    <t>Mitarbeiter über 30 Std.</t>
  </si>
  <si>
    <t>Mitarbeiter bis 30 Std.</t>
  </si>
  <si>
    <t>Mitarbeiter bis 20 Std.</t>
  </si>
  <si>
    <t>Minijobber</t>
  </si>
  <si>
    <t>Anzahl</t>
  </si>
  <si>
    <t>Faktor</t>
  </si>
  <si>
    <t>VZÄ</t>
  </si>
  <si>
    <t>berücksichtigungsfähige Fixkosten</t>
  </si>
  <si>
    <t>davon erstattungsfähig</t>
  </si>
  <si>
    <t>Gesamt</t>
  </si>
  <si>
    <t>vorläufige Förderhöhe</t>
  </si>
  <si>
    <t>ermittelte Förderhöhe</t>
  </si>
  <si>
    <t>maximale Gesamthöhe</t>
  </si>
  <si>
    <t>Personalkosten ohne KuG</t>
  </si>
  <si>
    <t>ja</t>
  </si>
  <si>
    <t>nein</t>
  </si>
  <si>
    <t>10. StB/WP-Kosten für Antrag Corona II  *)</t>
  </si>
  <si>
    <r>
      <t xml:space="preserve">*) Ansatz der Steuerberatungskosten im ersten Fördermonat, für den ein Zuschuss </t>
    </r>
    <r>
      <rPr>
        <b/>
        <sz val="12"/>
        <color theme="1"/>
        <rFont val="Arial"/>
        <family val="2"/>
      </rPr>
      <t>gezahlt</t>
    </r>
    <r>
      <rPr>
        <sz val="12"/>
        <color theme="1"/>
        <rFont val="Arial"/>
        <family val="2"/>
      </rPr>
      <t xml:space="preserve"> wird</t>
    </r>
  </si>
  <si>
    <t>Nordrhein-Westfalen</t>
  </si>
  <si>
    <t>Baden-Württemberg</t>
  </si>
  <si>
    <t>alle übrigen</t>
  </si>
  <si>
    <t>Bundesland</t>
  </si>
  <si>
    <t>Umsatzerlöse</t>
  </si>
  <si>
    <t>erhaltene Anzahlungen</t>
  </si>
  <si>
    <t>unentgeltliche Wertabgaben</t>
  </si>
  <si>
    <t>nicht gebuchte Forderungsausfälle</t>
  </si>
  <si>
    <t>Bitte nur die grau unterlegten Felder ausfüllen</t>
  </si>
  <si>
    <t>1. Umsatzeinbrüche in den Monaten September bis Dezember 2020</t>
  </si>
  <si>
    <t xml:space="preserve">   =&gt; 90% Erstattung der Fixkosten </t>
  </si>
  <si>
    <t xml:space="preserve">   =&gt; 60% Erstattung der Fixkosten </t>
  </si>
  <si>
    <t>zw. 30% -50%</t>
  </si>
  <si>
    <t>12. 20% Fixkosten 1-10 für Personal ohne KuG</t>
  </si>
  <si>
    <t>Miete/Pacht</t>
  </si>
  <si>
    <t>Miet-/Pachtnebenkosten</t>
  </si>
  <si>
    <t>Mieten für Einrichtungen</t>
  </si>
  <si>
    <t>Leasingkosten</t>
  </si>
  <si>
    <t>Versicherungen HP</t>
  </si>
  <si>
    <t xml:space="preserve">Sachversicherungen </t>
  </si>
  <si>
    <t>Kfz-Versicherungen</t>
  </si>
  <si>
    <t>Kosten für Jahresabschlusserstellung</t>
  </si>
  <si>
    <t>4. Ländermittel (bisher nicht bekannt)</t>
  </si>
  <si>
    <t>Beim Einfügen weiterer Zeilen bitte die Formeln in den nicht unterlegten Feldern überprüfen, ob die Gruppensummen noch passen</t>
  </si>
  <si>
    <t>Über die Gliederung kann der Einzelnachweis ausgeblendet werden, so dass für die Übernahme in den Antrag die Gruppensummen übersichtlicher zusammengefasst wird</t>
  </si>
  <si>
    <t>Schlussaberechnung über die erhaltene Corona-Überbrückungshilfe II</t>
  </si>
  <si>
    <t>zustehende/endgültige Fördermittel</t>
  </si>
  <si>
    <t xml:space="preserve">Aufstockung/Rückzahlung (-) </t>
  </si>
  <si>
    <t>bisher beantragt/ausgezahlt *)</t>
  </si>
  <si>
    <t>*) Falls abweichend, den tatsächlich bewilligten Betrag ansetzen</t>
  </si>
  <si>
    <t>Mustermann, Max</t>
  </si>
  <si>
    <t>Fall-Nr.:</t>
  </si>
  <si>
    <t>ÜBHII-0815-4711</t>
  </si>
  <si>
    <t>Personalkosten abzgl. KUG</t>
  </si>
  <si>
    <t>Fallnummer:</t>
  </si>
  <si>
    <t>Klein-/Kleinstunternehmen</t>
  </si>
  <si>
    <t>Bezeichnung</t>
  </si>
  <si>
    <t>Konto</t>
  </si>
  <si>
    <t>Kontenbeschriftung</t>
  </si>
  <si>
    <t>Jan</t>
  </si>
  <si>
    <t>Feb</t>
  </si>
  <si>
    <t>Mrz</t>
  </si>
  <si>
    <t>Apr</t>
  </si>
  <si>
    <t>Mai</t>
  </si>
  <si>
    <t>Jun</t>
  </si>
  <si>
    <t>Jul</t>
  </si>
  <si>
    <t>Aug</t>
  </si>
  <si>
    <t>Sep</t>
  </si>
  <si>
    <t>Okt</t>
  </si>
  <si>
    <t>Nov</t>
  </si>
  <si>
    <t>Dez</t>
  </si>
  <si>
    <t>KUM.Werte</t>
  </si>
  <si>
    <t>V O R L Ä U F I G E S    E R G E B N I S  ( l a u t  B W A )</t>
  </si>
  <si>
    <t>(darin enthaltene Corona-Hilfen)</t>
  </si>
  <si>
    <t>Korrekturpositionen:</t>
  </si>
  <si>
    <t>AfA (Anpassung Steuerrecht)</t>
  </si>
  <si>
    <t>Rückstellung Abschlusskosten</t>
  </si>
  <si>
    <t>sonstige Rückstellung</t>
  </si>
  <si>
    <t>sonstige Abgrenzungen</t>
  </si>
  <si>
    <t>Sm. BWA Korrekturen</t>
  </si>
  <si>
    <t xml:space="preserve">V O R L Ä U F I G E S    E R G E B N I S  ( b e r e i n i g t )  </t>
  </si>
  <si>
    <t>einmalige Wertminderungen</t>
  </si>
  <si>
    <t xml:space="preserve">sonstige förderfähige Fixkosten </t>
  </si>
  <si>
    <t>Personalkostenpauschale</t>
  </si>
  <si>
    <t>übersteigender Betrag</t>
  </si>
  <si>
    <t>Abschlusserstellung 2019</t>
  </si>
  <si>
    <t>Antragskosten</t>
  </si>
  <si>
    <t>Sm. Förderfähige Fixkosten</t>
  </si>
  <si>
    <t>sonstige Korrekturen</t>
  </si>
  <si>
    <t>Unternehmerlohn</t>
  </si>
  <si>
    <t>Krankenversicherung (unklar)</t>
  </si>
  <si>
    <t>anteilige ESt geschätzt 10% (unklar)</t>
  </si>
  <si>
    <t>freiwillige/private Unfallversicherung</t>
  </si>
  <si>
    <t>Anrechnung Länderprogramme</t>
  </si>
  <si>
    <t>Tilgungsleistungen (unklar)</t>
  </si>
  <si>
    <t>Summe Korrekturen</t>
  </si>
  <si>
    <t>noch nicht erfasste Entschädigungen/Beihilfen</t>
  </si>
  <si>
    <t>November-/Dezemberhilfe</t>
  </si>
  <si>
    <t>Versicherungungsentschädigungen</t>
  </si>
  <si>
    <t>Summe Entschädigungen/Beilhilfen</t>
  </si>
  <si>
    <t>B E I H I L F E R E C H T L I C H E S   E R G E B N I S</t>
  </si>
  <si>
    <t>Vorjahresumsatz</t>
  </si>
  <si>
    <t xml:space="preserve">untentgeltliche Wertabgaben </t>
  </si>
  <si>
    <t>Vorjahresumsatz (im Sinne Ü II)</t>
  </si>
  <si>
    <t>Umsatz lfd. Jahr</t>
  </si>
  <si>
    <t>Umsatz lfd. Jahr (im Sinne Ü II)</t>
  </si>
  <si>
    <t>Umsatzeinbruch in Euro</t>
  </si>
  <si>
    <t>einzubeziehen</t>
  </si>
  <si>
    <t>Beihilfeobergrenze in Prozent</t>
  </si>
  <si>
    <t>Beihilfeobergrenze in Euro</t>
  </si>
  <si>
    <t>im Leistungsmonat zu berücksichtigender Gewinn</t>
  </si>
  <si>
    <t>beantragte Überbrückungshilfe II</t>
  </si>
  <si>
    <t>prozentualer Deckungsbeitrag für Leistungszeitraum</t>
  </si>
  <si>
    <t>noch abzuzudeckende Überbrückungshilfe</t>
  </si>
  <si>
    <t>Verlustverrechnung Vormonate</t>
  </si>
  <si>
    <t>Kürzung Überbrückungshilfe II</t>
  </si>
  <si>
    <t>verbleibende Verlustverrechnung</t>
  </si>
  <si>
    <t>Vergleichsberechnung</t>
  </si>
  <si>
    <t>Abgrenzung Corona-Hilfen</t>
  </si>
  <si>
    <t>Corona-Soforthilfe</t>
  </si>
  <si>
    <t>Überbrückungshilfe I (incl. Landeshilfen)</t>
  </si>
  <si>
    <t>Sm. Corona-Hilfen</t>
  </si>
  <si>
    <t>Korrektur bereinigtes Deckungsergebnis</t>
  </si>
  <si>
    <t>zu berücksichtigende Verluste</t>
  </si>
  <si>
    <t>Differenz ungedeckte Fixkosten</t>
  </si>
  <si>
    <t>verrechenbare Verluste</t>
  </si>
  <si>
    <t>anzurechnende November-/Dezemberhilfe</t>
  </si>
  <si>
    <t>erechnete Fixkostenhiilfe</t>
  </si>
  <si>
    <t xml:space="preserve">4. Ländermittel </t>
  </si>
  <si>
    <t>Thüringen (nur Soloselbständige)</t>
  </si>
  <si>
    <t>205/5371/5211</t>
  </si>
  <si>
    <t>Teststadt</t>
  </si>
  <si>
    <t>a) Der Antragsteller darf sich am 31.12.2019 gemäß EU-Definition nicht in Schwierigkeiten befunden haben oder muss diese danach wieder überwunden haben.</t>
  </si>
  <si>
    <t>Umbaukosten / Coronabedingte Investitionen</t>
  </si>
  <si>
    <t>4. Finanzierungsanteile von Finanzierungs-Leasing</t>
  </si>
  <si>
    <t xml:space="preserve">Operating Leasingkosten </t>
  </si>
  <si>
    <t>Inhaber / Gesellschafter / SV-freier GGF</t>
  </si>
  <si>
    <t>2. Ermittlung der vorläufigen Beihilfebegrenzung auf die ungedeckten Fixkosten gem. Fixkostenhilfe 2020</t>
  </si>
  <si>
    <t>externe Dienstleister</t>
  </si>
  <si>
    <t>IT-Dienstleister</t>
  </si>
  <si>
    <t>Hausmeisterdienste</t>
  </si>
  <si>
    <t>IHK-Beiträge uä.</t>
  </si>
  <si>
    <t>Kontoführungsgebühren</t>
  </si>
  <si>
    <t>sonstiges</t>
  </si>
  <si>
    <t>Sind Personalkosten ohne KuG angefallen ?</t>
  </si>
  <si>
    <t>bitte pro Monat angeben</t>
  </si>
  <si>
    <t>10. StB/WP-Kosten für Antrag Corona II</t>
  </si>
  <si>
    <t>Zahlungen an die Künstlersozialkasse für beauftragte Künstler</t>
  </si>
  <si>
    <t>Franchisekosten</t>
  </si>
  <si>
    <t>Tierfutter</t>
  </si>
  <si>
    <t>1. Prüfung und Dokumentation der Voraussetzungen zum Erhalt der Überbrückungshilfe III</t>
  </si>
  <si>
    <t>b) Umsatz im Verbund &lt; 750 Mio. € / Jahr</t>
  </si>
  <si>
    <t>c) Anzahl Mitarbeiter</t>
  </si>
  <si>
    <t>Summe sonstige Einkünfte</t>
  </si>
  <si>
    <t>Prüfung der Voraussetzungen zum Erhalt der Corona-Überbrückungshilfe III</t>
  </si>
  <si>
    <t>1. Umsatzeinbrüche in den Monaten November 2020 bis Juni 2021</t>
  </si>
  <si>
    <t>2. Kalkulation der Fixkosten in den Monaten November 2020 bis Juni 2021</t>
  </si>
  <si>
    <t xml:space="preserve">      davon 50%</t>
  </si>
  <si>
    <t>17. Marketing- und Werbekosten; maximal in Höhe der entsprechenden Ausgaben im Jahre 2019 </t>
  </si>
  <si>
    <t>18. Für Unternehmen der Veranstaltungs- und Kulturbranche: von März bis Dezember 2020 angefallene interne als auch externe Ausfallkosten</t>
  </si>
  <si>
    <t>Prüfung der Voraussetzungen zum Erhalt der Neustarthilfe</t>
  </si>
  <si>
    <t>Umsatz 2019:</t>
  </si>
  <si>
    <t>vorläufige Neustarthilfe:</t>
  </si>
  <si>
    <t>endgültige Neustarthilfe:</t>
  </si>
  <si>
    <t>Referenzumsatz 2019</t>
  </si>
  <si>
    <t>Rückgang in €</t>
  </si>
  <si>
    <t>Rückgang in %</t>
  </si>
  <si>
    <t>endgültige Neustarthilfe</t>
  </si>
  <si>
    <t>Rückzahlung</t>
  </si>
  <si>
    <t>Förderquote (max 50%)</t>
  </si>
  <si>
    <t>Überbrückungshilfe III</t>
  </si>
  <si>
    <t>Günstigerprüfung Neustarthilfe</t>
  </si>
  <si>
    <t>Ermittlung Teilwert-AfA Saison-Ware</t>
  </si>
  <si>
    <t>Wertverluste aus verderblicher Ware oder sonst einer dauerhaften Wertminderung unterliegender Ware (d.h. saisonale Ware der Wintersaison 2020/2021), die im Jahr 2020 eingekauft wurden.</t>
  </si>
  <si>
    <t>Beschreibung</t>
  </si>
  <si>
    <t>Summe AK/HK 2020</t>
  </si>
  <si>
    <t>kumulierter negativer Deckungsbeitrag</t>
  </si>
  <si>
    <t>Warenposten 1:</t>
  </si>
  <si>
    <t>Weihnachtsschokolade</t>
  </si>
  <si>
    <t>Warenposten 2:</t>
  </si>
  <si>
    <t>Winterjacke</t>
  </si>
  <si>
    <t>Warenposten 3:</t>
  </si>
  <si>
    <t>Warenposten 4:</t>
  </si>
  <si>
    <t>Warenposten 5:</t>
  </si>
  <si>
    <t>Warenposten 6:</t>
  </si>
  <si>
    <t>Summe Warenwertabschreibung</t>
  </si>
  <si>
    <t>ENTWURF, Stand Eckpunktepapier FAQ abwarten !!!</t>
  </si>
  <si>
    <t>Der Inhalt der vorliegenden Exceltabelle ist nach bestem Wissen und Kenntnisstand  sorgfältig bearbeitet und erstellt worden. Wegen der vielen Neuerungen und der Dynamik des Rechtsgebiets, wegen der Vielzahl letztinstanzlich nicht entschiedener offener Rechts-, Anwendungs- und Auslegungsfragen und wegen des Fehlens beziehungsweise der Unvollständigkeit bundeseinheitlicher Verwaltungsanweisungen kann weder vom Veranstalter noch von dem Verfasser der Präsentation oder dem Referenten irgendeine Haftung übernommen werden.</t>
  </si>
  <si>
    <t>für ÜIII</t>
  </si>
  <si>
    <t>Vergleichszeitraum (idR. 2019)</t>
  </si>
  <si>
    <t>Prognose Umsätze 2021</t>
  </si>
  <si>
    <t>Die vorliegenden Inhalte dienen lediglich der allgemeinen Vorab-Information und geben die öffentlich bekannten und zugänglichen wirtschaftlichen, steuerlichen und rechtlichen Konsequenzen der Überbrückungshilfe III  in Auszügen wieder. Dieses Informationsangebot stellt keine Rechts- oder Steuerberatung im Einzelfall dar . Es kann eine Beratung im Einzelfall durch einen  Steuerberater oder Rechtsanwalt nicht ersetzen, stellt aber keine Aufforderung zur Rechts- oder Steuerberatung dar.</t>
  </si>
  <si>
    <t>15. bauliche Modernisierungs-, Renovierungs- oder Umbaumaßnahmen für Hygienemaßnahmen, max. 20.000 pro Monat</t>
  </si>
  <si>
    <t>16. Digitalisierungskosten, max. 20.000 € einmalig</t>
  </si>
  <si>
    <t>Zwischensumme lfd. Nr. 1-11</t>
  </si>
  <si>
    <t>12. Kosten für Auszubildende</t>
  </si>
  <si>
    <t>13. 20% Fixkosten 1-11 für Personal ohne KuG</t>
  </si>
  <si>
    <t>14. Provisionsrückzahlungen nur: Reisebüro-/veranstalter</t>
  </si>
  <si>
    <t>19. Einzelhandel: Teilwertabschreibung Saisonware</t>
  </si>
  <si>
    <t>Über die regulären Stichproben im Rahmen der Überbrückungshilfe III hinaus sind bei allen Anträgen mit Teilwertabschreibungen über 1.000.000 Euro Kontrollen durch die Bewilligungsstellen der Länder zwingend vorgeschrieben.</t>
  </si>
  <si>
    <t>Einzelhändler: Die Warenwertabschreibung berechnet sich aus der Differenz der
kumulierten Einkaufspreise und der kumulierten Abgabepreise für die gesamte
betrachtete Ware.</t>
  </si>
  <si>
    <r>
      <t xml:space="preserve">11. </t>
    </r>
    <r>
      <rPr>
        <b/>
        <sz val="12"/>
        <color theme="1"/>
        <rFont val="Arial"/>
        <family val="2"/>
      </rPr>
      <t>Handelsrechtliche</t>
    </r>
    <r>
      <rPr>
        <sz val="12"/>
        <color theme="1"/>
        <rFont val="Arial"/>
        <family val="2"/>
      </rPr>
      <t xml:space="preserve"> planmäßige Abschreibung pro rata temporis (100% eintragen)</t>
    </r>
  </si>
  <si>
    <t>Ermittlung der ungedeckten Fixkosten iSd. Fixkostenhilfe 2020</t>
  </si>
  <si>
    <t>Programm:</t>
  </si>
  <si>
    <t>Überbrückungshilfe II</t>
  </si>
  <si>
    <t>Betrachtungsperiode</t>
  </si>
  <si>
    <t>Umsatz</t>
  </si>
  <si>
    <t>Umsatzvariable Kosten (zB. Wareneinsatz)</t>
  </si>
  <si>
    <t>Bestandsveränderungen ???</t>
  </si>
  <si>
    <t>Deckungsbeitrag aus gewöhnlicher Geschäftstätigkeit / Rohertrag, wenn positiv</t>
  </si>
  <si>
    <t>Sonstige Erlöse</t>
  </si>
  <si>
    <t>Coronahilfen (verteilt auf Leistungszeitraum oder bei Zufluß)</t>
  </si>
  <si>
    <t>zzgl. Versicherungserstattungen (wenn nicht bereits in sonstigen Erlösen enthalten)</t>
  </si>
  <si>
    <t>Fixkosten laut BWA nach Kostenarten:</t>
  </si>
  <si>
    <t>tatsächliche Personalkosten, ggf. zzgl. anteiliger Sonderzahlungen abzgl. KUG</t>
  </si>
  <si>
    <t>Raumkosten</t>
  </si>
  <si>
    <t>Versicherungen/Beiträge</t>
  </si>
  <si>
    <t>KFZ</t>
  </si>
  <si>
    <t>Werbe-/Reisekosten</t>
  </si>
  <si>
    <t>Kosten Warenabgabe</t>
  </si>
  <si>
    <t>alle (plan- und außerplanmäßige) Abschreibungen</t>
  </si>
  <si>
    <t>Reparaturen</t>
  </si>
  <si>
    <t>Sonstige Kosten</t>
  </si>
  <si>
    <t>Zinsaufwendungen</t>
  </si>
  <si>
    <t>Zinsertrag</t>
  </si>
  <si>
    <t>sonstige Steuern</t>
  </si>
  <si>
    <t>Steuern vom Einkommen und Ertrag</t>
  </si>
  <si>
    <t>Optional: Alle Fixkosten laut BWA in Summe</t>
  </si>
  <si>
    <t>Ergebnis laut BWA</t>
  </si>
  <si>
    <t xml:space="preserve">nur für Reisebüros oder Reiseveranstalter: </t>
  </si>
  <si>
    <t>Provisionen für Reisebüros oder Margen für Reiseveranstalter für Pauschalreisen</t>
  </si>
  <si>
    <t>abzgl. Tilgungen im Betrachtungszeitraum (max. planmäßige Abschreibungen (steuerlich))</t>
  </si>
  <si>
    <t xml:space="preserve">abzgl. Kalkulatorischer Unternehmerlohn (wenn nicht in den Personalkosten als Gehalt enthalten) -&gt; Pfändungsfreigrenze </t>
  </si>
  <si>
    <t>Rechner</t>
  </si>
  <si>
    <t>Steuer auf kalk. Unternehmerlohn (Nettolohnermittlung)</t>
  </si>
  <si>
    <t>zusätzliche AfA: noch nicht erfasste oder steuerliche Mehr-AfA</t>
  </si>
  <si>
    <t>Zuführung Rückstellung Jahresabschluss</t>
  </si>
  <si>
    <t>Zuführung Rückstellung Antragskosten ÜII/Hilfen</t>
  </si>
  <si>
    <t>Zuführung sonstige Rückstellung</t>
  </si>
  <si>
    <t>Abgrenzung (PRAP / noch nicht abgerechnete Leistungen)</t>
  </si>
  <si>
    <t>abzgl. Corona-bedingte Investitionen, die als Kosten gelten gem. FAQ Ü II</t>
  </si>
  <si>
    <t>ggf. Mehrbetrag Personalkostenzuschlag Sachkosten 20% zu Personalkosten BWA</t>
  </si>
  <si>
    <t>abzgl. noch nicht erfasste zulässige Wertminderungen Handel</t>
  </si>
  <si>
    <t>zzgl. einmalige Wertminderungen, soweit in BWA enthalten</t>
  </si>
  <si>
    <t>Ausnahme nur Handel: regelmäßige ausserplanmäßige Abschreibungen bleiben abzugsfähig</t>
  </si>
  <si>
    <t>Umsatz 2019 (Test: 30% Umsatzrückgang !)</t>
  </si>
  <si>
    <t>Erlaubt sind Beihilfen an Unternehmen, die während des beihilfefähigen Zeitraums Umsatzeinbußen von mindestens 30 % im Vergleich zu demselben Zeitraum im Jahr 2019 erlitten haben. Der „beihilfefähige Zeitraum“ ist jener Zeitraum, der für die Berechnung der ungedeckten Fixkosten eines Unternehmens herangezogen wird. Voraussetzung für die Förderung ist dabei immer, dass im entsprechenden Zeitraum mindestens 30%ige Umsatzeinbußen vorliegen.</t>
  </si>
  <si>
    <t>zu berücksichtigende Verluste (Umsatzrückgang mind. 30%)</t>
  </si>
  <si>
    <t xml:space="preserve">Maximalförderung kleine Unternehmen </t>
  </si>
  <si>
    <t>Maximalförderung mittlere Unternehmen</t>
  </si>
  <si>
    <t>Externe Kosten:</t>
  </si>
  <si>
    <t>Kostenart</t>
  </si>
  <si>
    <t>1.</t>
  </si>
  <si>
    <t>Miet- und Pachtkosten</t>
  </si>
  <si>
    <t>Veranstaltungsstätten</t>
  </si>
  <si>
    <t>Sonstige Gebäude und bauliche Anlagen</t>
  </si>
  <si>
    <t>Sonstige erforderliche Nutzflächen (z.B. landwirtschaftliche Flächen)</t>
  </si>
  <si>
    <t>Veranstaltungstechnik</t>
  </si>
  <si>
    <t>Veranstaltungsausstattung</t>
  </si>
  <si>
    <t>Mobile Infrastruktur</t>
  </si>
  <si>
    <t>Mobile Sanitäranlagen</t>
  </si>
  <si>
    <t>Ver- und Entsorgung Strom, Wasser, Abwasser, IT &amp; TK</t>
  </si>
  <si>
    <t>Absperrsysteme</t>
  </si>
  <si>
    <t>Transport und Logistik</t>
  </si>
  <si>
    <t>Werbekosten</t>
  </si>
  <si>
    <t>Mietfahrzeuge- und Maschinen</t>
  </si>
  <si>
    <t>2.</t>
  </si>
  <si>
    <t>Veranstaltungs-/Produktionsplanung und -leitung</t>
  </si>
  <si>
    <t>Personal, Dienstleister und Subunternehmer</t>
  </si>
  <si>
    <t>Veranstaltungsordnungsdienst</t>
  </si>
  <si>
    <t>Sicherheit</t>
  </si>
  <si>
    <t>Sanitätsdienst</t>
  </si>
  <si>
    <t>Feuerwehr/Brandwache</t>
  </si>
  <si>
    <t>Polizei</t>
  </si>
  <si>
    <t>Übersetzungs- und Dolmetscherleistungen</t>
  </si>
  <si>
    <t>Programmkosten</t>
  </si>
  <si>
    <t>Agenturkosten</t>
  </si>
  <si>
    <t>Marketing und Kommunikation</t>
  </si>
  <si>
    <t>Redner, Referenten, Moderatoren</t>
  </si>
  <si>
    <t>Reise- und Unterbringungskosten</t>
  </si>
  <si>
    <t>Standbau/Messebau</t>
  </si>
  <si>
    <t>Catering</t>
  </si>
  <si>
    <t>Versicherungen</t>
  </si>
  <si>
    <t>Genehmigungen und Abgaben</t>
  </si>
  <si>
    <t>Ticketingkosten</t>
  </si>
  <si>
    <t>Reinigung und Entsorgung</t>
  </si>
  <si>
    <t>Teilnehmer Sachkosten</t>
  </si>
  <si>
    <t>Interne Kosten</t>
  </si>
  <si>
    <t>Personalkosten</t>
  </si>
  <si>
    <t>Planungskosten</t>
  </si>
  <si>
    <t>Abwicklung der Absage/Verschiebung</t>
  </si>
  <si>
    <t>Umsatz Referenzmonat 2019</t>
  </si>
  <si>
    <t>Rückgang</t>
  </si>
  <si>
    <t>Kosten zu berücksichtigen</t>
  </si>
  <si>
    <t>Kategorie</t>
  </si>
  <si>
    <t>verderbliche Ware</t>
  </si>
  <si>
    <t>Wintersaisonware</t>
  </si>
  <si>
    <t>Ermittlung der zusätzlichen nachträglich förderfähigen Fixkosten Pyrotechnikbranche</t>
  </si>
  <si>
    <t>20. Lager- und Transportkosten Pyrotechnikunternehmen</t>
  </si>
  <si>
    <t>21. Nachträgliche Fixkostenerstattung Pyrotechnikbranche</t>
  </si>
  <si>
    <t>Tierfutter / Tierarzt</t>
  </si>
  <si>
    <t>Ausfallkosten</t>
  </si>
  <si>
    <t>geleistete und nicht rückerstattete Zahlungen an Vertragspartner des Antragsstellers außerhalb des Unternehmens zur Vorbereitung und Durchführung von nicht durchgeführten Reisen oder für die Stornierung</t>
  </si>
  <si>
    <t>Zahlungen an Leistungsträger für fest eingekaufte Kontingente</t>
  </si>
  <si>
    <t>Aufwand Währungsschwankungen (Differenz aus Zahlung und Erstattung durch Kursschwankungen)</t>
  </si>
  <si>
    <t>sonstige Stornokosten uä.</t>
  </si>
  <si>
    <t>Summe externe Ausfallkosten</t>
  </si>
  <si>
    <t>Wahlrecht: Personalkostenpauschale 50% extern</t>
  </si>
  <si>
    <t>Personalkosten gesamt</t>
  </si>
  <si>
    <t>trotz Storno erwirtschaftete Verträge</t>
  </si>
  <si>
    <t>erhaltenes KUG</t>
  </si>
  <si>
    <t>erhaltene Überbrückungshilfe I / II</t>
  </si>
  <si>
    <t>Stand: 11.02.2021</t>
  </si>
  <si>
    <t>Basis FAQ Ü III</t>
  </si>
  <si>
    <t>jegliche Haftung ausgeschlossen, relevant sind ausschliesslich die finalen FAQ des BMWi</t>
  </si>
  <si>
    <t>netto Personalkosten</t>
  </si>
  <si>
    <t>Buchungen im Zeitraum</t>
  </si>
  <si>
    <t>stornierte Buchungen im Zeitraum</t>
  </si>
  <si>
    <t>Stornoquote</t>
  </si>
  <si>
    <t>anteilige auf Storno entfallende Personalkosten</t>
  </si>
  <si>
    <t>davon 50% Personalkostenpauschale</t>
  </si>
  <si>
    <t>Summe inkl. optimierter Personalkostenpauschale</t>
  </si>
  <si>
    <t>Summe Nachholkosten März-Oktober 2020</t>
  </si>
  <si>
    <t>Summe VK netto 2021</t>
  </si>
  <si>
    <t>14a. Provisionsrückzahlungen nur: Reisebüro-/veranstalter</t>
  </si>
  <si>
    <t>14b. nachgeholte Ausfallkosten Reisebranche</t>
  </si>
  <si>
    <t>d) Novemberhilfe in Anspruch genommen ?</t>
  </si>
  <si>
    <t>e) Dezemberhilfe in Anspruch genommen ?</t>
  </si>
  <si>
    <t>VERLUST in 2020 entgegen ursprünglicher Ankündigung nicht mehr erforderlich</t>
  </si>
  <si>
    <t>Ski ?</t>
  </si>
  <si>
    <t>Hinweise zur Umsatzermittlung FAQ 1.3:</t>
  </si>
  <si>
    <t>Steuerbarer Umsatz nach § 1 UStG</t>
  </si>
  <si>
    <t>Besonderheiten bei Versteuerung nach vereinnahmenten Entgelten</t>
  </si>
  <si>
    <t xml:space="preserve">hierzu gehören auch: </t>
  </si>
  <si>
    <t>einmalige Umsätze z.B. aus Anlagenverkäufen, soweit nicht Corona-bedingte Notverkäufe</t>
  </si>
  <si>
    <t>Einfuhren</t>
  </si>
  <si>
    <t>Innergemeinschaftliche  Erwerbe</t>
  </si>
  <si>
    <r>
      <t xml:space="preserve">Ausdrücklich </t>
    </r>
    <r>
      <rPr>
        <b/>
        <sz val="12"/>
        <color theme="1"/>
        <rFont val="Arial"/>
        <family val="2"/>
      </rPr>
      <t>nicht:</t>
    </r>
  </si>
  <si>
    <t>Umsätzte im Unternehmensverbund, die gleichzeitig Kosten des Unternehmensverbundes darstellen</t>
  </si>
  <si>
    <t>Hinweise zu den betrieblichen Fixkosten FAQ 2.4</t>
  </si>
  <si>
    <t>einige Fixkosten sind nur förderfähig, wenn sie vor dem 1.1.2021 privatrechtlich oder hoheitrechtlich begründet worden sind.</t>
  </si>
  <si>
    <t>Vertragsanpassungen mit einer Erhöhung werden nicht berücksichtigt</t>
  </si>
  <si>
    <t>Zahlungen von Gesellschaften an einzelne Gesellschafter/innen (natürliche Personen) werden als Fixkosten anerkannt.</t>
  </si>
  <si>
    <t>13. 20% Fixkosten 1-11 für Personal ohne KuG, es dürfen nicht alle Angestellten in kompletter Kurzarbeit sein</t>
  </si>
  <si>
    <t>2.4 der FAQ also 1 bis 10 und 15</t>
  </si>
  <si>
    <t>Die Zurodnung der Kosten FAQ 2.10</t>
  </si>
  <si>
    <t xml:space="preserve"> </t>
  </si>
  <si>
    <t>Im Grundsatz: Fälligkeit</t>
  </si>
  <si>
    <t>Bei Rechnungsstellung ohne Zahlungsziel mit Erhalt der Rechnung, ein anteiliger Ansatz von nicht fälligen Fixkosten ist verboten</t>
  </si>
  <si>
    <t>Kosten des prüfenden Dritten FAQ 3.10</t>
  </si>
  <si>
    <t>Vorlegen der USt-Va und Susa zwingend erfordrlich, Differenz von Susa zur USt-Va erläutern (also differenzbesteuerte Umsätzte ermitteln)</t>
  </si>
  <si>
    <t>Die voraussichtlichen oder bereits angefallenen Kosten des prüfenden Dritten für die Antragstellung und die</t>
  </si>
  <si>
    <t>dem ersten Fördermonat, für den ein Zuschuß gezahlt wird oder</t>
  </si>
  <si>
    <t>dem Fördermonat zuzuordnen in dem sie angefallen sind oder</t>
  </si>
  <si>
    <t>gleichmäßig auf alle Fördermonate verteilen</t>
  </si>
  <si>
    <t>Schlussrechnung sind wie folgt zuzuordnen:</t>
  </si>
  <si>
    <t>hier besteht ein Wahlrecht</t>
  </si>
  <si>
    <t>Zunächst selbst tragen und in Vorleistung gehen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</si>
</sst>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407]_-;\-* #,##0.00\ [$€-407]_-;_-* &quot;-&quot;??\ [$€-407]_-;_-@_-"/>
    <numFmt numFmtId="165" formatCode="0.000%"/>
    <numFmt numFmtId="166" formatCode="#,##0.00\ &quot;€&quot;"/>
    <numFmt numFmtId="167" formatCode="#,##0\ &quot;€&quot;"/>
  </numFmts>
  <fonts count="47" x14ac:knownFonts="1">
    <font>
      <sz val="11"/>
      <color theme="1"/>
      <name val="Calibri"/>
      <family val="2"/>
      <scheme val="minor"/>
    </font>
    <font>
      <sz val="11"/>
      <color theme="1"/>
      <name val="Calibri"/>
      <family val="2"/>
      <scheme val="minor"/>
    </font>
    <font>
      <sz val="12"/>
      <color theme="1"/>
      <name val="Arial"/>
      <family val="2"/>
    </font>
    <font>
      <b/>
      <u val="double"/>
      <sz val="12"/>
      <color theme="1"/>
      <name val="Arial"/>
      <family val="2"/>
    </font>
    <font>
      <u/>
      <sz val="11"/>
      <color theme="10"/>
      <name val="Calibri"/>
      <family val="2"/>
      <scheme val="minor"/>
    </font>
    <font>
      <b/>
      <sz val="12"/>
      <color theme="1"/>
      <name val="Arial"/>
      <family val="2"/>
    </font>
    <font>
      <u/>
      <sz val="12"/>
      <color theme="10"/>
      <name val="Arial"/>
      <family val="2"/>
    </font>
    <font>
      <sz val="12"/>
      <name val="Arial"/>
      <family val="2"/>
    </font>
    <font>
      <b/>
      <u/>
      <sz val="12"/>
      <name val="Arial"/>
      <family val="2"/>
    </font>
    <font>
      <u/>
      <sz val="12"/>
      <name val="Arial"/>
      <family val="2"/>
    </font>
    <font>
      <b/>
      <sz val="12"/>
      <name val="Arial"/>
      <family val="2"/>
    </font>
    <font>
      <i/>
      <sz val="12"/>
      <color theme="1"/>
      <name val="Arial"/>
      <family val="2"/>
    </font>
    <font>
      <i/>
      <sz val="12"/>
      <color rgb="FFFF0000"/>
      <name val="Arial"/>
      <family val="2"/>
    </font>
    <font>
      <b/>
      <sz val="11"/>
      <color theme="1"/>
      <name val="Calibri"/>
      <family val="2"/>
      <scheme val="minor"/>
    </font>
    <font>
      <u/>
      <sz val="11"/>
      <color theme="1"/>
      <name val="Calibri"/>
      <family val="2"/>
      <scheme val="minor"/>
    </font>
    <font>
      <b/>
      <sz val="16"/>
      <color theme="1"/>
      <name val="Calibri"/>
      <family val="2"/>
      <scheme val="minor"/>
    </font>
    <font>
      <b/>
      <sz val="14"/>
      <color theme="1"/>
      <name val="Calibri"/>
      <family val="2"/>
      <scheme val="minor"/>
    </font>
    <font>
      <b/>
      <sz val="10"/>
      <name val="Arial"/>
      <family val="2"/>
    </font>
    <font>
      <i/>
      <sz val="11"/>
      <color theme="1"/>
      <name val="Calibri"/>
      <family val="2"/>
      <scheme val="minor"/>
    </font>
    <font>
      <b/>
      <i/>
      <sz val="11"/>
      <color theme="1"/>
      <name val="Calibri"/>
      <family val="2"/>
      <scheme val="minor"/>
    </font>
    <font>
      <sz val="13"/>
      <color rgb="FF212121"/>
      <name val="Arial"/>
      <family val="2"/>
    </font>
    <font>
      <sz val="11"/>
      <color theme="0"/>
      <name val="Calibri"/>
      <family val="2"/>
      <scheme val="minor"/>
    </font>
    <font>
      <sz val="8"/>
      <name val="Calibri"/>
      <family val="2"/>
      <scheme val="minor"/>
    </font>
    <font>
      <sz val="12"/>
      <color theme="1"/>
      <name val="Calibri"/>
      <family val="2"/>
      <scheme val="minor"/>
    </font>
    <font>
      <b/>
      <sz val="12"/>
      <color theme="1"/>
      <name val="Calibri"/>
      <family val="2"/>
      <scheme val="minor"/>
    </font>
    <font>
      <sz val="12"/>
      <color theme="0"/>
      <name val="Arial"/>
      <family val="2"/>
    </font>
    <font>
      <b/>
      <sz val="12"/>
      <color rgb="FFFF0000"/>
      <name val="Arial"/>
      <family val="2"/>
    </font>
    <font>
      <b/>
      <sz val="22"/>
      <color theme="1"/>
      <name val="Calibri"/>
      <family val="2"/>
      <scheme val="minor"/>
    </font>
    <font>
      <sz val="18"/>
      <color theme="1"/>
      <name val="Calibri"/>
      <family val="2"/>
      <scheme val="minor"/>
    </font>
    <font>
      <b/>
      <sz val="18"/>
      <color theme="1"/>
      <name val="Calibri"/>
      <family val="2"/>
      <scheme val="minor"/>
    </font>
    <font>
      <sz val="40"/>
      <color rgb="FFFF0000"/>
      <name val="Calibri"/>
      <family val="2"/>
      <scheme val="minor"/>
    </font>
    <font>
      <sz val="9"/>
      <color rgb="FF000000"/>
      <name val="Arial"/>
      <family val="2"/>
    </font>
    <font>
      <sz val="11"/>
      <color rgb="FF006100"/>
      <name val="Calibri"/>
      <family val="2"/>
      <scheme val="minor"/>
    </font>
    <font>
      <sz val="11"/>
      <color rgb="FF9C5700"/>
      <name val="Calibri"/>
      <family val="2"/>
      <scheme val="minor"/>
    </font>
    <font>
      <sz val="11"/>
      <color rgb="FFFF0000"/>
      <name val="Calibri"/>
      <family val="2"/>
      <scheme val="minor"/>
    </font>
    <font>
      <sz val="14"/>
      <color theme="1"/>
      <name val="Calibri"/>
      <family val="2"/>
      <scheme val="minor"/>
    </font>
    <font>
      <b/>
      <sz val="14"/>
      <color rgb="FF9C5700"/>
      <name val="Calibri"/>
      <family val="2"/>
      <scheme val="minor"/>
    </font>
    <font>
      <b/>
      <sz val="14"/>
      <name val="Calibri"/>
      <family val="2"/>
      <scheme val="minor"/>
    </font>
    <font>
      <sz val="14"/>
      <color rgb="FF006100"/>
      <name val="Calibri"/>
      <family val="2"/>
      <scheme val="minor"/>
    </font>
    <font>
      <i/>
      <sz val="14"/>
      <color theme="1"/>
      <name val="Calibri"/>
      <family val="2"/>
      <scheme val="minor"/>
    </font>
    <font>
      <i/>
      <sz val="13"/>
      <color rgb="FF212121"/>
      <name val="Arial"/>
      <family val="2"/>
    </font>
    <font>
      <strike/>
      <sz val="14"/>
      <color theme="1"/>
      <name val="Calibri"/>
      <family val="2"/>
      <scheme val="minor"/>
    </font>
    <font>
      <sz val="10"/>
      <color theme="1"/>
      <name val="Calibri"/>
      <family val="2"/>
      <scheme val="minor"/>
    </font>
    <font>
      <b/>
      <sz val="11"/>
      <color rgb="FF212121"/>
      <name val="Arial"/>
      <family val="2"/>
    </font>
    <font>
      <sz val="9.9"/>
      <color rgb="FF212121"/>
      <name val="Arial"/>
      <family val="2"/>
    </font>
    <font>
      <b/>
      <sz val="9.9"/>
      <color rgb="FF212121"/>
      <name val="Arial"/>
      <family val="2"/>
    </font>
    <font>
      <sz val="12"/>
      <color theme="8"/>
      <name val="Arial"/>
      <family val="2"/>
    </font>
  </fonts>
  <fills count="17">
    <fill>
      <patternFill patternType="none"/>
    </fill>
    <fill>
      <patternFill patternType="gray125"/>
    </fill>
    <fill>
      <patternFill patternType="solid">
        <fgColor rgb="FFFFFF00"/>
        <bgColor indexed="64"/>
      </patternFill>
    </fill>
    <fill>
      <patternFill patternType="solid">
        <fgColor rgb="FFCCFF99"/>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EB9C"/>
      </patternFill>
    </fill>
    <fill>
      <patternFill patternType="solid">
        <fgColor theme="0" tint="-4.9989318521683403E-2"/>
        <bgColor indexed="64"/>
      </patternFill>
    </fill>
    <fill>
      <patternFill patternType="solid">
        <fgColor rgb="FFFFFFFF"/>
        <bgColor indexed="64"/>
      </patternFill>
    </fill>
  </fills>
  <borders count="2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32" fillId="13" borderId="0" applyNumberFormat="0" applyBorder="0" applyAlignment="0" applyProtection="0"/>
    <xf numFmtId="0" fontId="33" fillId="14" borderId="0" applyNumberFormat="0" applyBorder="0" applyAlignment="0" applyProtection="0"/>
  </cellStyleXfs>
  <cellXfs count="282">
    <xf numFmtId="0" fontId="0" fillId="0" borderId="0" xfId="0"/>
    <xf numFmtId="4" fontId="2" fillId="0" borderId="0" xfId="0" applyNumberFormat="1" applyFont="1" applyAlignment="1">
      <alignment vertical="center"/>
    </xf>
    <xf numFmtId="4" fontId="2" fillId="0" borderId="0" xfId="0" applyNumberFormat="1" applyFont="1"/>
    <xf numFmtId="4" fontId="2" fillId="0" borderId="0" xfId="0" applyNumberFormat="1" applyFont="1" applyBorder="1"/>
    <xf numFmtId="4" fontId="2" fillId="0" borderId="0" xfId="0" applyNumberFormat="1" applyFont="1" applyBorder="1" applyAlignment="1">
      <alignment vertical="center"/>
    </xf>
    <xf numFmtId="4" fontId="2" fillId="0" borderId="1" xfId="0" applyNumberFormat="1" applyFont="1" applyBorder="1" applyAlignment="1">
      <alignment vertical="center"/>
    </xf>
    <xf numFmtId="4" fontId="2" fillId="0" borderId="1" xfId="0" applyNumberFormat="1" applyFont="1" applyBorder="1"/>
    <xf numFmtId="4" fontId="3" fillId="0" borderId="0" xfId="0" applyNumberFormat="1" applyFont="1" applyBorder="1"/>
    <xf numFmtId="4" fontId="2" fillId="0" borderId="0" xfId="0" applyNumberFormat="1" applyFont="1" applyBorder="1" applyAlignment="1">
      <alignment horizontal="right"/>
    </xf>
    <xf numFmtId="0" fontId="5" fillId="0" borderId="0" xfId="0" applyFont="1"/>
    <xf numFmtId="0" fontId="2" fillId="0" borderId="0" xfId="0" applyFont="1"/>
    <xf numFmtId="0" fontId="7" fillId="0" borderId="0" xfId="0" applyFont="1"/>
    <xf numFmtId="17" fontId="8" fillId="0" borderId="0" xfId="0" applyNumberFormat="1" applyFont="1" applyAlignment="1">
      <alignment horizontal="center"/>
    </xf>
    <xf numFmtId="0" fontId="8" fillId="0" borderId="0" xfId="0" applyFont="1" applyAlignment="1">
      <alignment horizontal="center"/>
    </xf>
    <xf numFmtId="0" fontId="7" fillId="0" borderId="0" xfId="0" applyFont="1" applyAlignment="1">
      <alignment vertical="center"/>
    </xf>
    <xf numFmtId="164" fontId="7" fillId="0" borderId="0" xfId="1" applyNumberFormat="1" applyFont="1" applyAlignment="1">
      <alignment vertical="center"/>
    </xf>
    <xf numFmtId="0" fontId="9" fillId="0" borderId="0" xfId="0" applyFont="1" applyBorder="1"/>
    <xf numFmtId="0" fontId="10" fillId="0" borderId="0" xfId="0" applyFont="1" applyAlignment="1">
      <alignment horizontal="center"/>
    </xf>
    <xf numFmtId="0" fontId="8" fillId="0" borderId="0" xfId="0" applyFont="1" applyBorder="1" applyAlignment="1">
      <alignment horizontal="center"/>
    </xf>
    <xf numFmtId="10" fontId="10" fillId="4" borderId="2" xfId="2" applyNumberFormat="1" applyFont="1" applyFill="1" applyBorder="1" applyAlignment="1">
      <alignment vertical="center"/>
    </xf>
    <xf numFmtId="164" fontId="7" fillId="0" borderId="0" xfId="1" applyNumberFormat="1" applyFont="1"/>
    <xf numFmtId="0" fontId="8" fillId="0" borderId="0" xfId="0" applyFont="1"/>
    <xf numFmtId="164" fontId="7" fillId="0" borderId="0" xfId="1" applyNumberFormat="1" applyFont="1" applyAlignment="1">
      <alignment horizontal="center" vertical="center"/>
    </xf>
    <xf numFmtId="0" fontId="7" fillId="0" borderId="0" xfId="0" applyFont="1" applyAlignment="1">
      <alignment horizontal="center" vertical="center"/>
    </xf>
    <xf numFmtId="0" fontId="10" fillId="0" borderId="0" xfId="0" applyFont="1"/>
    <xf numFmtId="164" fontId="7" fillId="0" borderId="0" xfId="0" applyNumberFormat="1" applyFont="1"/>
    <xf numFmtId="10" fontId="10" fillId="5" borderId="2" xfId="2" applyNumberFormat="1" applyFont="1" applyFill="1" applyBorder="1" applyAlignment="1">
      <alignment vertical="center"/>
    </xf>
    <xf numFmtId="0" fontId="2" fillId="0" borderId="1" xfId="0" applyFont="1" applyBorder="1"/>
    <xf numFmtId="0" fontId="11" fillId="0" borderId="0" xfId="0" applyFont="1"/>
    <xf numFmtId="10" fontId="2" fillId="0" borderId="0" xfId="0" applyNumberFormat="1" applyFont="1"/>
    <xf numFmtId="4" fontId="2" fillId="2" borderId="0" xfId="0" applyNumberFormat="1" applyFont="1" applyFill="1"/>
    <xf numFmtId="4" fontId="2" fillId="0" borderId="0" xfId="0" applyNumberFormat="1" applyFont="1" applyAlignment="1">
      <alignment horizontal="center"/>
    </xf>
    <xf numFmtId="4" fontId="5" fillId="2" borderId="0" xfId="0" applyNumberFormat="1" applyFont="1" applyFill="1"/>
    <xf numFmtId="4" fontId="5" fillId="7" borderId="2" xfId="0" applyNumberFormat="1" applyFont="1" applyFill="1" applyBorder="1"/>
    <xf numFmtId="4" fontId="2" fillId="0" borderId="0" xfId="0" applyNumberFormat="1" applyFont="1" applyProtection="1">
      <protection locked="0"/>
    </xf>
    <xf numFmtId="49" fontId="7" fillId="3" borderId="0" xfId="1" applyNumberFormat="1" applyFont="1" applyFill="1" applyAlignment="1" applyProtection="1">
      <alignment vertical="center"/>
    </xf>
    <xf numFmtId="4" fontId="2" fillId="8" borderId="0" xfId="0" applyNumberFormat="1" applyFont="1" applyFill="1" applyProtection="1">
      <protection locked="0"/>
    </xf>
    <xf numFmtId="4" fontId="2" fillId="8" borderId="1" xfId="0" applyNumberFormat="1" applyFont="1" applyFill="1" applyBorder="1" applyProtection="1">
      <protection locked="0"/>
    </xf>
    <xf numFmtId="0" fontId="2" fillId="8" borderId="0" xfId="0" applyFont="1" applyFill="1" applyAlignment="1" applyProtection="1">
      <alignment horizontal="center"/>
      <protection locked="0"/>
    </xf>
    <xf numFmtId="164" fontId="7" fillId="8" borderId="0" xfId="1" applyNumberFormat="1" applyFont="1" applyFill="1" applyAlignment="1" applyProtection="1">
      <alignment vertical="center"/>
      <protection locked="0"/>
    </xf>
    <xf numFmtId="49" fontId="7" fillId="8" borderId="0" xfId="1" applyNumberFormat="1" applyFont="1" applyFill="1" applyAlignment="1" applyProtection="1">
      <alignment vertical="center"/>
      <protection locked="0"/>
    </xf>
    <xf numFmtId="4" fontId="2" fillId="0" borderId="0" xfId="0" applyNumberFormat="1" applyFont="1" applyProtection="1"/>
    <xf numFmtId="4" fontId="5" fillId="7" borderId="0" xfId="0" applyNumberFormat="1" applyFont="1" applyFill="1"/>
    <xf numFmtId="4" fontId="5" fillId="9" borderId="0" xfId="0" applyNumberFormat="1" applyFont="1" applyFill="1"/>
    <xf numFmtId="4" fontId="5" fillId="9" borderId="2" xfId="0" applyNumberFormat="1" applyFont="1" applyFill="1" applyBorder="1"/>
    <xf numFmtId="164" fontId="7" fillId="0" borderId="0" xfId="1" applyNumberFormat="1" applyFont="1" applyFill="1" applyAlignment="1" applyProtection="1">
      <alignment vertical="center"/>
      <protection locked="0"/>
    </xf>
    <xf numFmtId="0" fontId="7" fillId="0" borderId="0" xfId="0" applyFont="1" applyFill="1"/>
    <xf numFmtId="0" fontId="7" fillId="0" borderId="1" xfId="0" applyFont="1" applyBorder="1"/>
    <xf numFmtId="164" fontId="7" fillId="8" borderId="1" xfId="1" applyNumberFormat="1" applyFont="1" applyFill="1" applyBorder="1" applyAlignment="1" applyProtection="1">
      <alignment vertical="center"/>
      <protection locked="0"/>
    </xf>
    <xf numFmtId="0" fontId="12" fillId="0" borderId="0" xfId="0" applyFont="1"/>
    <xf numFmtId="4" fontId="2" fillId="0" borderId="0" xfId="0" applyNumberFormat="1" applyFont="1" applyFill="1" applyProtection="1">
      <protection locked="0"/>
    </xf>
    <xf numFmtId="4" fontId="2" fillId="0" borderId="1" xfId="0" applyNumberFormat="1" applyFont="1" applyFill="1" applyBorder="1" applyProtection="1">
      <protection locked="0"/>
    </xf>
    <xf numFmtId="4" fontId="2" fillId="0" borderId="0" xfId="0" applyNumberFormat="1" applyFont="1" applyFill="1"/>
    <xf numFmtId="4" fontId="2" fillId="0" borderId="0" xfId="0" applyNumberFormat="1" applyFont="1" applyFill="1" applyProtection="1"/>
    <xf numFmtId="0" fontId="0" fillId="0" borderId="0" xfId="0" applyFill="1"/>
    <xf numFmtId="0" fontId="15" fillId="9" borderId="0" xfId="0" applyFont="1" applyFill="1"/>
    <xf numFmtId="0" fontId="0" fillId="9" borderId="0" xfId="0" applyFill="1"/>
    <xf numFmtId="164" fontId="0" fillId="9" borderId="0" xfId="0" applyNumberFormat="1" applyFill="1"/>
    <xf numFmtId="164" fontId="16" fillId="9" borderId="0" xfId="0" applyNumberFormat="1" applyFont="1" applyFill="1"/>
    <xf numFmtId="0" fontId="16" fillId="9" borderId="0" xfId="0" applyNumberFormat="1" applyFont="1" applyFill="1" applyAlignment="1">
      <alignment horizontal="center"/>
    </xf>
    <xf numFmtId="49" fontId="17" fillId="0" borderId="0" xfId="0" applyNumberFormat="1" applyFont="1" applyFill="1" applyAlignment="1">
      <alignment horizontal="center"/>
    </xf>
    <xf numFmtId="164" fontId="0" fillId="0" borderId="0" xfId="0" applyNumberFormat="1" applyFill="1" applyAlignment="1">
      <alignment wrapText="1"/>
    </xf>
    <xf numFmtId="164" fontId="0" fillId="0" borderId="0" xfId="0" applyNumberFormat="1" applyFill="1" applyAlignment="1">
      <alignment horizontal="center" wrapText="1"/>
    </xf>
    <xf numFmtId="0" fontId="13" fillId="0" borderId="0" xfId="0" applyFont="1" applyFill="1" applyBorder="1" applyAlignment="1">
      <alignment horizontal="right"/>
    </xf>
    <xf numFmtId="164" fontId="13" fillId="10" borderId="0" xfId="0" applyNumberFormat="1" applyFont="1" applyFill="1"/>
    <xf numFmtId="164" fontId="13" fillId="0" borderId="0" xfId="0" applyNumberFormat="1" applyFont="1" applyFill="1"/>
    <xf numFmtId="0" fontId="13" fillId="0" borderId="0" xfId="0" applyFont="1" applyFill="1"/>
    <xf numFmtId="164" fontId="0" fillId="0" borderId="0" xfId="0" applyNumberFormat="1" applyFill="1"/>
    <xf numFmtId="165" fontId="0" fillId="0" borderId="0" xfId="2" applyNumberFormat="1" applyFont="1" applyFill="1"/>
    <xf numFmtId="0" fontId="0" fillId="0" borderId="1" xfId="0" applyFill="1" applyBorder="1"/>
    <xf numFmtId="164" fontId="0" fillId="0" borderId="1" xfId="0" applyNumberFormat="1" applyFill="1" applyBorder="1"/>
    <xf numFmtId="0" fontId="0" fillId="2" borderId="3" xfId="0" applyFill="1" applyBorder="1"/>
    <xf numFmtId="0" fontId="0" fillId="2" borderId="4" xfId="0" applyFill="1" applyBorder="1"/>
    <xf numFmtId="0" fontId="13" fillId="2" borderId="4" xfId="0" applyFont="1" applyFill="1" applyBorder="1" applyAlignment="1">
      <alignment horizontal="right"/>
    </xf>
    <xf numFmtId="164" fontId="13" fillId="2" borderId="4" xfId="0" applyNumberFormat="1" applyFont="1" applyFill="1" applyBorder="1"/>
    <xf numFmtId="0" fontId="13" fillId="0" borderId="0" xfId="0" applyFont="1" applyFill="1" applyAlignment="1">
      <alignment horizontal="right"/>
    </xf>
    <xf numFmtId="164" fontId="0" fillId="10" borderId="0" xfId="0" applyNumberFormat="1" applyFill="1"/>
    <xf numFmtId="164" fontId="0" fillId="10" borderId="1" xfId="0" applyNumberFormat="1" applyFill="1" applyBorder="1"/>
    <xf numFmtId="0" fontId="18" fillId="0" borderId="0" xfId="0" applyFont="1" applyFill="1"/>
    <xf numFmtId="164" fontId="18" fillId="0" borderId="0" xfId="0" applyNumberFormat="1" applyFont="1" applyFill="1"/>
    <xf numFmtId="164" fontId="18" fillId="10" borderId="0" xfId="0" applyNumberFormat="1" applyFont="1" applyFill="1"/>
    <xf numFmtId="0" fontId="0" fillId="0" borderId="0" xfId="0" applyFont="1" applyFill="1"/>
    <xf numFmtId="164" fontId="0" fillId="0" borderId="0" xfId="0" applyNumberFormat="1" applyFont="1" applyFill="1"/>
    <xf numFmtId="164" fontId="0" fillId="10" borderId="0" xfId="0" applyNumberFormat="1" applyFont="1" applyFill="1"/>
    <xf numFmtId="10" fontId="13" fillId="0" borderId="0" xfId="2" applyNumberFormat="1" applyFont="1" applyFill="1"/>
    <xf numFmtId="10" fontId="0" fillId="9" borderId="0" xfId="2" applyNumberFormat="1" applyFont="1" applyFill="1"/>
    <xf numFmtId="0" fontId="0" fillId="0" borderId="5" xfId="0" applyFill="1" applyBorder="1"/>
    <xf numFmtId="0" fontId="0" fillId="0" borderId="6" xfId="0" applyFill="1" applyBorder="1"/>
    <xf numFmtId="0" fontId="0" fillId="0" borderId="6" xfId="0" applyFont="1" applyFill="1" applyBorder="1"/>
    <xf numFmtId="164" fontId="0" fillId="0" borderId="6" xfId="0" applyNumberFormat="1" applyFont="1" applyFill="1" applyBorder="1"/>
    <xf numFmtId="164" fontId="0" fillId="0" borderId="7" xfId="0" applyNumberFormat="1" applyFont="1" applyFill="1" applyBorder="1"/>
    <xf numFmtId="0" fontId="0" fillId="0" borderId="8" xfId="0" applyFill="1" applyBorder="1"/>
    <xf numFmtId="0" fontId="0" fillId="0" borderId="0" xfId="0" applyFill="1" applyBorder="1"/>
    <xf numFmtId="0" fontId="0" fillId="0" borderId="1" xfId="0" applyFont="1" applyFill="1" applyBorder="1"/>
    <xf numFmtId="164" fontId="0" fillId="0" borderId="1" xfId="0" applyNumberFormat="1" applyFont="1" applyFill="1" applyBorder="1"/>
    <xf numFmtId="164" fontId="0" fillId="0" borderId="9" xfId="0" applyNumberFormat="1" applyFont="1" applyFill="1" applyBorder="1"/>
    <xf numFmtId="0" fontId="0" fillId="0" borderId="10" xfId="0" applyFill="1" applyBorder="1"/>
    <xf numFmtId="0" fontId="0" fillId="0" borderId="11" xfId="0" applyFill="1" applyBorder="1"/>
    <xf numFmtId="0" fontId="13" fillId="6" borderId="11" xfId="0" applyFont="1" applyFill="1" applyBorder="1"/>
    <xf numFmtId="164" fontId="0" fillId="6" borderId="11" xfId="0" applyNumberFormat="1" applyFill="1" applyBorder="1"/>
    <xf numFmtId="164" fontId="13" fillId="6" borderId="11" xfId="0" applyNumberFormat="1" applyFont="1" applyFill="1" applyBorder="1"/>
    <xf numFmtId="164" fontId="13" fillId="6" borderId="12" xfId="0" applyNumberFormat="1" applyFont="1" applyFill="1" applyBorder="1"/>
    <xf numFmtId="0" fontId="13" fillId="0" borderId="5" xfId="0" applyFont="1" applyFill="1" applyBorder="1"/>
    <xf numFmtId="164" fontId="0" fillId="0" borderId="6" xfId="0" applyNumberFormat="1" applyFill="1" applyBorder="1"/>
    <xf numFmtId="164" fontId="0" fillId="0" borderId="6" xfId="0" applyNumberFormat="1" applyFill="1" applyBorder="1" applyAlignment="1">
      <alignment horizontal="center" wrapText="1"/>
    </xf>
    <xf numFmtId="164" fontId="0" fillId="0" borderId="7" xfId="0" applyNumberFormat="1" applyFill="1" applyBorder="1" applyAlignment="1">
      <alignment horizontal="center" wrapText="1"/>
    </xf>
    <xf numFmtId="0" fontId="13" fillId="0" borderId="8" xfId="0" applyFont="1" applyFill="1" applyBorder="1"/>
    <xf numFmtId="164" fontId="0" fillId="0" borderId="0" xfId="0" applyNumberFormat="1" applyFill="1" applyBorder="1"/>
    <xf numFmtId="164" fontId="0" fillId="0" borderId="0" xfId="0" applyNumberFormat="1" applyFill="1" applyBorder="1" applyAlignment="1">
      <alignment horizontal="center" wrapText="1"/>
    </xf>
    <xf numFmtId="164" fontId="0" fillId="0" borderId="13" xfId="0" applyNumberFormat="1" applyFill="1" applyBorder="1" applyAlignment="1">
      <alignment horizontal="center" wrapText="1"/>
    </xf>
    <xf numFmtId="164" fontId="0" fillId="0" borderId="13" xfId="0" applyNumberFormat="1" applyFill="1" applyBorder="1"/>
    <xf numFmtId="0" fontId="14" fillId="0" borderId="8" xfId="0" applyFont="1" applyFill="1" applyBorder="1"/>
    <xf numFmtId="164" fontId="0" fillId="10" borderId="0" xfId="0" applyNumberFormat="1" applyFill="1" applyBorder="1"/>
    <xf numFmtId="0" fontId="0" fillId="0" borderId="14" xfId="0" applyFill="1" applyBorder="1"/>
    <xf numFmtId="164" fontId="0" fillId="0" borderId="9" xfId="0" applyNumberFormat="1" applyFill="1" applyBorder="1"/>
    <xf numFmtId="10" fontId="0" fillId="0" borderId="0" xfId="2" applyNumberFormat="1" applyFont="1" applyFill="1" applyBorder="1"/>
    <xf numFmtId="10" fontId="0" fillId="0" borderId="13" xfId="2" applyNumberFormat="1" applyFont="1" applyFill="1" applyBorder="1"/>
    <xf numFmtId="0" fontId="0" fillId="0" borderId="5" xfId="0" applyFont="1" applyFill="1" applyBorder="1"/>
    <xf numFmtId="164" fontId="13" fillId="0" borderId="6" xfId="0" applyNumberFormat="1" applyFont="1" applyFill="1" applyBorder="1"/>
    <xf numFmtId="164" fontId="13" fillId="0" borderId="7" xfId="0" applyNumberFormat="1" applyFont="1" applyFill="1" applyBorder="1"/>
    <xf numFmtId="0" fontId="0" fillId="0" borderId="14" xfId="0" applyFont="1" applyFill="1" applyBorder="1"/>
    <xf numFmtId="164" fontId="13" fillId="0" borderId="0" xfId="0" applyNumberFormat="1" applyFont="1" applyFill="1" applyBorder="1"/>
    <xf numFmtId="0" fontId="13" fillId="0" borderId="10" xfId="0" applyFont="1" applyFill="1" applyBorder="1"/>
    <xf numFmtId="164" fontId="13" fillId="0" borderId="11" xfId="0" applyNumberFormat="1" applyFont="1" applyFill="1" applyBorder="1"/>
    <xf numFmtId="164" fontId="13" fillId="7" borderId="12" xfId="0" applyNumberFormat="1" applyFont="1" applyFill="1" applyBorder="1"/>
    <xf numFmtId="49" fontId="15" fillId="9" borderId="0" xfId="0" applyNumberFormat="1" applyFont="1" applyFill="1"/>
    <xf numFmtId="4" fontId="2" fillId="8" borderId="0" xfId="0" applyNumberFormat="1" applyFont="1" applyFill="1" applyBorder="1" applyProtection="1">
      <protection locked="0"/>
    </xf>
    <xf numFmtId="4" fontId="2" fillId="0" borderId="0" xfId="0" applyNumberFormat="1" applyFont="1" applyFill="1" applyBorder="1" applyProtection="1">
      <protection locked="0"/>
    </xf>
    <xf numFmtId="4" fontId="5" fillId="0" borderId="0" xfId="0" applyNumberFormat="1" applyFont="1" applyAlignment="1">
      <alignment vertical="center"/>
    </xf>
    <xf numFmtId="0" fontId="2" fillId="10" borderId="0" xfId="0" applyFont="1" applyFill="1" applyProtection="1">
      <protection locked="0"/>
    </xf>
    <xf numFmtId="4" fontId="5" fillId="0" borderId="0" xfId="0" applyNumberFormat="1" applyFont="1" applyAlignment="1" applyProtection="1">
      <alignment vertical="center"/>
    </xf>
    <xf numFmtId="4" fontId="2" fillId="0" borderId="0" xfId="0" applyNumberFormat="1" applyFont="1" applyBorder="1" applyProtection="1"/>
    <xf numFmtId="0" fontId="2" fillId="0" borderId="0" xfId="0" applyFont="1" applyProtection="1"/>
    <xf numFmtId="4" fontId="5" fillId="0" borderId="0" xfId="0" applyNumberFormat="1" applyFont="1" applyBorder="1" applyAlignment="1" applyProtection="1">
      <alignment vertical="center"/>
    </xf>
    <xf numFmtId="4" fontId="3" fillId="0" borderId="0" xfId="0" applyNumberFormat="1" applyFont="1" applyBorder="1" applyProtection="1"/>
    <xf numFmtId="4" fontId="2" fillId="0" borderId="0" xfId="0" applyNumberFormat="1" applyFont="1" applyBorder="1" applyAlignment="1" applyProtection="1">
      <alignment horizontal="right"/>
    </xf>
    <xf numFmtId="0" fontId="5" fillId="0" borderId="0" xfId="0" applyFont="1" applyProtection="1"/>
    <xf numFmtId="4" fontId="4" fillId="0" borderId="0" xfId="3" applyNumberFormat="1" applyBorder="1" applyProtection="1"/>
    <xf numFmtId="0" fontId="6" fillId="0" borderId="0" xfId="3" applyFont="1" applyProtection="1"/>
    <xf numFmtId="0" fontId="12" fillId="0" borderId="0" xfId="0" applyFont="1" applyProtection="1"/>
    <xf numFmtId="0" fontId="7" fillId="0" borderId="0" xfId="0" applyFont="1" applyProtection="1"/>
    <xf numFmtId="17" fontId="8" fillId="0" borderId="0" xfId="0" applyNumberFormat="1" applyFont="1" applyAlignment="1" applyProtection="1">
      <alignment horizontal="center"/>
    </xf>
    <xf numFmtId="0" fontId="8" fillId="0" borderId="0" xfId="0" applyFont="1" applyAlignment="1" applyProtection="1">
      <alignment horizontal="center"/>
    </xf>
    <xf numFmtId="0" fontId="7" fillId="0" borderId="1" xfId="0" applyFont="1" applyBorder="1" applyProtection="1"/>
    <xf numFmtId="0" fontId="7" fillId="0" borderId="0" xfId="0" applyFont="1" applyAlignment="1" applyProtection="1">
      <alignment vertical="center"/>
    </xf>
    <xf numFmtId="164" fontId="7" fillId="0" borderId="0" xfId="1" applyNumberFormat="1" applyFont="1" applyFill="1" applyAlignment="1" applyProtection="1">
      <alignment vertical="center"/>
    </xf>
    <xf numFmtId="0" fontId="7" fillId="0" borderId="0" xfId="0" applyFont="1" applyFill="1" applyProtection="1"/>
    <xf numFmtId="164" fontId="7" fillId="0" borderId="0" xfId="1" applyNumberFormat="1" applyFont="1" applyAlignment="1" applyProtection="1">
      <alignment vertical="center"/>
    </xf>
    <xf numFmtId="0" fontId="10" fillId="0" borderId="0" xfId="0" applyFont="1" applyAlignment="1" applyProtection="1">
      <alignment horizontal="center"/>
    </xf>
    <xf numFmtId="10" fontId="10" fillId="4" borderId="2" xfId="2" applyNumberFormat="1" applyFont="1" applyFill="1" applyBorder="1" applyAlignment="1" applyProtection="1">
      <alignment vertical="center"/>
    </xf>
    <xf numFmtId="164" fontId="7" fillId="0" borderId="0" xfId="1" applyNumberFormat="1" applyFont="1" applyProtection="1"/>
    <xf numFmtId="0" fontId="10" fillId="0" borderId="0" xfId="0" applyFont="1" applyProtection="1"/>
    <xf numFmtId="4" fontId="2" fillId="0" borderId="0" xfId="0" applyNumberFormat="1" applyFont="1" applyBorder="1" applyAlignment="1" applyProtection="1">
      <alignment vertical="center"/>
    </xf>
    <xf numFmtId="0" fontId="8" fillId="0" borderId="0" xfId="0" applyFont="1" applyProtection="1"/>
    <xf numFmtId="0" fontId="7" fillId="0" borderId="0" xfId="0" applyFont="1" applyAlignment="1" applyProtection="1">
      <alignment horizontal="center" vertical="center"/>
    </xf>
    <xf numFmtId="164" fontId="7" fillId="0" borderId="0" xfId="1" applyNumberFormat="1" applyFont="1" applyAlignment="1" applyProtection="1">
      <alignment horizontal="center" vertical="center"/>
    </xf>
    <xf numFmtId="10" fontId="10" fillId="5" borderId="2" xfId="2" applyNumberFormat="1" applyFont="1" applyFill="1" applyBorder="1" applyAlignment="1" applyProtection="1">
      <alignment vertical="center"/>
    </xf>
    <xf numFmtId="0" fontId="2" fillId="0" borderId="1" xfId="0" applyFont="1" applyBorder="1" applyProtection="1"/>
    <xf numFmtId="4" fontId="2" fillId="0" borderId="1" xfId="0" applyNumberFormat="1" applyFont="1" applyBorder="1" applyProtection="1"/>
    <xf numFmtId="4" fontId="2" fillId="0" borderId="1" xfId="0" applyNumberFormat="1" applyFont="1" applyFill="1" applyBorder="1" applyProtection="1"/>
    <xf numFmtId="0" fontId="2" fillId="0" borderId="0" xfId="0" applyFont="1" applyBorder="1" applyProtection="1"/>
    <xf numFmtId="0" fontId="11" fillId="0" borderId="0" xfId="0" applyFont="1" applyProtection="1"/>
    <xf numFmtId="0" fontId="20" fillId="0" borderId="0" xfId="0" applyFont="1" applyProtection="1"/>
    <xf numFmtId="4" fontId="2" fillId="0" borderId="0" xfId="0" applyNumberFormat="1" applyFont="1" applyAlignment="1" applyProtection="1">
      <alignment horizontal="center"/>
    </xf>
    <xf numFmtId="4" fontId="2" fillId="2" borderId="0" xfId="0" applyNumberFormat="1" applyFont="1" applyFill="1" applyProtection="1"/>
    <xf numFmtId="0" fontId="2" fillId="8" borderId="0" xfId="0" applyFont="1" applyFill="1" applyAlignment="1" applyProtection="1">
      <alignment horizontal="center"/>
    </xf>
    <xf numFmtId="4" fontId="2" fillId="0" borderId="1" xfId="0" applyNumberFormat="1" applyFont="1" applyBorder="1" applyProtection="1">
      <protection locked="0"/>
    </xf>
    <xf numFmtId="0" fontId="2" fillId="0" borderId="0" xfId="0" applyFont="1" applyProtection="1">
      <protection locked="0"/>
    </xf>
    <xf numFmtId="0" fontId="2" fillId="0" borderId="1" xfId="0" applyFont="1" applyBorder="1" applyProtection="1">
      <protection locked="0"/>
    </xf>
    <xf numFmtId="0" fontId="2" fillId="0" borderId="0" xfId="0" applyFont="1" applyBorder="1" applyProtection="1">
      <protection locked="0"/>
    </xf>
    <xf numFmtId="4" fontId="3" fillId="0" borderId="0" xfId="0" applyNumberFormat="1" applyFont="1"/>
    <xf numFmtId="4" fontId="2" fillId="0" borderId="0" xfId="0" applyNumberFormat="1" applyFont="1" applyAlignment="1">
      <alignment horizontal="right"/>
    </xf>
    <xf numFmtId="4" fontId="5" fillId="0" borderId="0" xfId="0" applyNumberFormat="1" applyFont="1"/>
    <xf numFmtId="4" fontId="2" fillId="0" borderId="0" xfId="0" applyNumberFormat="1" applyFont="1" applyBorder="1" applyProtection="1">
      <protection locked="0"/>
    </xf>
    <xf numFmtId="0" fontId="25" fillId="0" borderId="0" xfId="0" applyFont="1"/>
    <xf numFmtId="4" fontId="5" fillId="0" borderId="0" xfId="0" applyNumberFormat="1" applyFont="1" applyProtection="1"/>
    <xf numFmtId="0" fontId="26" fillId="0" borderId="0" xfId="0" applyFont="1" applyProtection="1"/>
    <xf numFmtId="0" fontId="27" fillId="11" borderId="0" xfId="0" applyFont="1" applyFill="1"/>
    <xf numFmtId="0" fontId="0" fillId="11" borderId="0" xfId="0" applyFill="1"/>
    <xf numFmtId="0" fontId="19" fillId="11" borderId="0" xfId="0" applyFont="1" applyFill="1"/>
    <xf numFmtId="0" fontId="28" fillId="11" borderId="0" xfId="0" applyFont="1" applyFill="1"/>
    <xf numFmtId="0" fontId="29" fillId="11" borderId="2" xfId="0" applyFont="1" applyFill="1" applyBorder="1"/>
    <xf numFmtId="0" fontId="30" fillId="11" borderId="0" xfId="0" applyFont="1" applyFill="1"/>
    <xf numFmtId="0" fontId="31" fillId="0" borderId="0" xfId="0" applyFont="1" applyAlignment="1">
      <alignment horizontal="left" vertical="center" readingOrder="1"/>
    </xf>
    <xf numFmtId="166" fontId="23" fillId="8" borderId="0" xfId="0" applyNumberFormat="1" applyFont="1" applyFill="1" applyProtection="1">
      <protection locked="0"/>
    </xf>
    <xf numFmtId="0" fontId="0" fillId="0" borderId="0" xfId="0" applyProtection="1"/>
    <xf numFmtId="0" fontId="23" fillId="0" borderId="0" xfId="0" applyFont="1" applyProtection="1"/>
    <xf numFmtId="0" fontId="24" fillId="0" borderId="0" xfId="0" applyFont="1" applyProtection="1"/>
    <xf numFmtId="0" fontId="0" fillId="0" borderId="0" xfId="0" applyFill="1" applyProtection="1"/>
    <xf numFmtId="166" fontId="23" fillId="0" borderId="0" xfId="0" applyNumberFormat="1" applyFont="1" applyProtection="1"/>
    <xf numFmtId="166" fontId="21" fillId="0" borderId="0" xfId="0" applyNumberFormat="1" applyFont="1" applyProtection="1"/>
    <xf numFmtId="0" fontId="21" fillId="0" borderId="0" xfId="0" applyFont="1" applyProtection="1"/>
    <xf numFmtId="164" fontId="23" fillId="0" borderId="0" xfId="0" applyNumberFormat="1" applyFont="1" applyProtection="1"/>
    <xf numFmtId="10" fontId="23" fillId="0" borderId="0" xfId="0" applyNumberFormat="1" applyFont="1" applyProtection="1"/>
    <xf numFmtId="10" fontId="21" fillId="0" borderId="0" xfId="0" applyNumberFormat="1" applyFont="1" applyProtection="1"/>
    <xf numFmtId="0" fontId="24" fillId="0" borderId="3" xfId="0" applyFont="1" applyBorder="1" applyProtection="1"/>
    <xf numFmtId="166" fontId="24" fillId="0" borderId="15" xfId="0" applyNumberFormat="1" applyFont="1" applyBorder="1" applyProtection="1"/>
    <xf numFmtId="0" fontId="28" fillId="12" borderId="0" xfId="0" applyFont="1" applyFill="1" applyProtection="1">
      <protection locked="0"/>
    </xf>
    <xf numFmtId="166" fontId="2" fillId="12" borderId="0" xfId="0" applyNumberFormat="1" applyFont="1" applyFill="1" applyProtection="1">
      <protection locked="0"/>
    </xf>
    <xf numFmtId="0" fontId="0" fillId="11" borderId="0" xfId="0" applyFill="1" applyAlignment="1">
      <alignment horizontal="center"/>
    </xf>
    <xf numFmtId="0" fontId="16" fillId="11" borderId="0" xfId="0" applyFont="1" applyFill="1" applyAlignment="1">
      <alignment wrapText="1"/>
    </xf>
    <xf numFmtId="0" fontId="35" fillId="11" borderId="0" xfId="0" applyFont="1" applyFill="1" applyAlignment="1">
      <alignment wrapText="1"/>
    </xf>
    <xf numFmtId="0" fontId="18" fillId="11" borderId="0" xfId="0" applyFont="1" applyFill="1"/>
    <xf numFmtId="0" fontId="34" fillId="11" borderId="0" xfId="0" applyFont="1" applyFill="1"/>
    <xf numFmtId="0" fontId="21" fillId="11" borderId="0" xfId="0" applyFont="1" applyFill="1"/>
    <xf numFmtId="0" fontId="36" fillId="11" borderId="0" xfId="5" applyFont="1" applyFill="1" applyAlignment="1">
      <alignment horizontal="center"/>
    </xf>
    <xf numFmtId="0" fontId="37" fillId="11" borderId="0" xfId="0" applyFont="1" applyFill="1" applyAlignment="1">
      <alignment wrapText="1"/>
    </xf>
    <xf numFmtId="17" fontId="16" fillId="15" borderId="16" xfId="0" applyNumberFormat="1" applyFont="1" applyFill="1" applyBorder="1" applyAlignment="1">
      <alignment wrapText="1"/>
    </xf>
    <xf numFmtId="0" fontId="38" fillId="13" borderId="0" xfId="4" applyFont="1" applyAlignment="1">
      <alignment wrapText="1"/>
    </xf>
    <xf numFmtId="167" fontId="38" fillId="13" borderId="16" xfId="4" applyNumberFormat="1" applyFont="1" applyBorder="1"/>
    <xf numFmtId="167" fontId="35" fillId="11" borderId="16" xfId="0" applyNumberFormat="1" applyFont="1" applyFill="1" applyBorder="1"/>
    <xf numFmtId="0" fontId="39" fillId="11" borderId="0" xfId="0" applyFont="1" applyFill="1" applyAlignment="1">
      <alignment wrapText="1"/>
    </xf>
    <xf numFmtId="167" fontId="35" fillId="11" borderId="0" xfId="0" applyNumberFormat="1" applyFont="1" applyFill="1"/>
    <xf numFmtId="167" fontId="39" fillId="11" borderId="16" xfId="0" applyNumberFormat="1" applyFont="1" applyFill="1" applyBorder="1"/>
    <xf numFmtId="167" fontId="35" fillId="11" borderId="17" xfId="0" applyNumberFormat="1" applyFont="1" applyFill="1" applyBorder="1"/>
    <xf numFmtId="0" fontId="40" fillId="0" borderId="0" xfId="0" applyFont="1"/>
    <xf numFmtId="0" fontId="41" fillId="11" borderId="0" xfId="0" applyFont="1" applyFill="1" applyAlignment="1">
      <alignment wrapText="1"/>
    </xf>
    <xf numFmtId="0" fontId="4" fillId="11" borderId="0" xfId="3" applyFill="1"/>
    <xf numFmtId="167" fontId="35" fillId="11" borderId="18" xfId="0" applyNumberFormat="1" applyFont="1" applyFill="1" applyBorder="1"/>
    <xf numFmtId="0" fontId="18" fillId="0" borderId="0" xfId="0" applyFont="1"/>
    <xf numFmtId="0" fontId="18" fillId="11" borderId="0" xfId="0" applyFont="1" applyFill="1" applyAlignment="1">
      <alignment wrapText="1"/>
    </xf>
    <xf numFmtId="9" fontId="35" fillId="11" borderId="16" xfId="0" applyNumberFormat="1" applyFont="1" applyFill="1" applyBorder="1"/>
    <xf numFmtId="0" fontId="42" fillId="11" borderId="0" xfId="0" applyFont="1" applyFill="1" applyAlignment="1">
      <alignment wrapText="1"/>
    </xf>
    <xf numFmtId="9" fontId="35" fillId="11" borderId="0" xfId="0" applyNumberFormat="1" applyFont="1" applyFill="1"/>
    <xf numFmtId="167" fontId="16" fillId="11" borderId="0" xfId="0" applyNumberFormat="1" applyFont="1" applyFill="1"/>
    <xf numFmtId="167" fontId="16" fillId="15" borderId="3" xfId="0" applyNumberFormat="1" applyFont="1" applyFill="1" applyBorder="1"/>
    <xf numFmtId="167" fontId="16" fillId="15" borderId="15" xfId="0" applyNumberFormat="1" applyFont="1" applyFill="1" applyBorder="1"/>
    <xf numFmtId="167" fontId="16" fillId="8" borderId="4" xfId="0" applyNumberFormat="1" applyFont="1" applyFill="1" applyBorder="1"/>
    <xf numFmtId="167" fontId="16" fillId="8" borderId="15" xfId="0" applyNumberFormat="1" applyFont="1" applyFill="1" applyBorder="1"/>
    <xf numFmtId="9" fontId="0" fillId="11" borderId="0" xfId="0" applyNumberFormat="1" applyFill="1" applyAlignment="1">
      <alignment horizontal="center"/>
    </xf>
    <xf numFmtId="0" fontId="35" fillId="11" borderId="0" xfId="0" applyFont="1" applyFill="1"/>
    <xf numFmtId="0" fontId="0" fillId="11" borderId="0" xfId="0" applyFill="1" applyAlignment="1">
      <alignment wrapText="1"/>
    </xf>
    <xf numFmtId="0" fontId="5" fillId="15" borderId="0" xfId="0" applyFont="1" applyFill="1" applyProtection="1">
      <protection locked="0"/>
    </xf>
    <xf numFmtId="4" fontId="0" fillId="0" borderId="0" xfId="0" applyNumberFormat="1"/>
    <xf numFmtId="0" fontId="43" fillId="0" borderId="16" xfId="0" applyFont="1" applyBorder="1" applyAlignment="1">
      <alignment vertical="center" wrapText="1"/>
    </xf>
    <xf numFmtId="0" fontId="0" fillId="0" borderId="16" xfId="0" applyBorder="1"/>
    <xf numFmtId="0" fontId="44" fillId="16" borderId="16" xfId="0" applyFont="1" applyFill="1" applyBorder="1" applyAlignment="1">
      <alignment vertical="top" wrapText="1"/>
    </xf>
    <xf numFmtId="0" fontId="45" fillId="16" borderId="16" xfId="0" applyFont="1" applyFill="1" applyBorder="1" applyAlignment="1">
      <alignment vertical="top" wrapText="1"/>
    </xf>
    <xf numFmtId="16" fontId="44" fillId="16" borderId="16" xfId="0" applyNumberFormat="1" applyFont="1" applyFill="1" applyBorder="1" applyAlignment="1">
      <alignment vertical="top" wrapText="1"/>
    </xf>
    <xf numFmtId="17" fontId="44" fillId="16" borderId="16" xfId="0" applyNumberFormat="1" applyFont="1" applyFill="1" applyBorder="1" applyAlignment="1">
      <alignment vertical="top" wrapText="1"/>
    </xf>
    <xf numFmtId="0" fontId="0" fillId="0" borderId="19" xfId="0" applyBorder="1"/>
    <xf numFmtId="0" fontId="45" fillId="16" borderId="19" xfId="0" applyFont="1" applyFill="1" applyBorder="1" applyAlignment="1">
      <alignment vertical="top" wrapText="1"/>
    </xf>
    <xf numFmtId="0" fontId="44" fillId="16" borderId="19" xfId="0" applyFont="1" applyFill="1" applyBorder="1" applyAlignment="1">
      <alignment vertical="top" wrapText="1"/>
    </xf>
    <xf numFmtId="0" fontId="0" fillId="0" borderId="0" xfId="0" applyBorder="1"/>
    <xf numFmtId="17" fontId="13" fillId="8" borderId="20" xfId="0" applyNumberFormat="1" applyFont="1" applyFill="1" applyBorder="1"/>
    <xf numFmtId="17" fontId="13" fillId="8" borderId="16" xfId="0" applyNumberFormat="1" applyFont="1" applyFill="1" applyBorder="1"/>
    <xf numFmtId="0" fontId="0" fillId="11" borderId="19" xfId="0" applyFill="1" applyBorder="1"/>
    <xf numFmtId="0" fontId="0" fillId="11" borderId="0" xfId="0" applyFill="1" applyBorder="1"/>
    <xf numFmtId="0" fontId="0" fillId="11" borderId="20" xfId="0" applyFill="1" applyBorder="1"/>
    <xf numFmtId="0" fontId="0" fillId="11" borderId="16" xfId="0" applyFill="1" applyBorder="1"/>
    <xf numFmtId="0" fontId="44" fillId="16" borderId="0" xfId="0" applyFont="1" applyFill="1" applyBorder="1" applyAlignment="1">
      <alignment vertical="top" wrapText="1"/>
    </xf>
    <xf numFmtId="0" fontId="0" fillId="15" borderId="0" xfId="0" applyFill="1" applyProtection="1">
      <protection locked="0"/>
    </xf>
    <xf numFmtId="2" fontId="0" fillId="15" borderId="20" xfId="0" applyNumberFormat="1" applyFill="1" applyBorder="1" applyProtection="1">
      <protection locked="0"/>
    </xf>
    <xf numFmtId="2" fontId="0" fillId="15" borderId="16" xfId="0" applyNumberFormat="1" applyFill="1" applyBorder="1" applyProtection="1">
      <protection locked="0"/>
    </xf>
    <xf numFmtId="2" fontId="0" fillId="0" borderId="0" xfId="0" applyNumberFormat="1"/>
    <xf numFmtId="17" fontId="13" fillId="8" borderId="18" xfId="0" applyNumberFormat="1" applyFont="1" applyFill="1" applyBorder="1"/>
    <xf numFmtId="0" fontId="0" fillId="15" borderId="3" xfId="0" applyFill="1" applyBorder="1" applyProtection="1">
      <protection locked="0"/>
    </xf>
    <xf numFmtId="0" fontId="0" fillId="15" borderId="4" xfId="0" applyFill="1" applyBorder="1" applyProtection="1">
      <protection locked="0"/>
    </xf>
    <xf numFmtId="0" fontId="0" fillId="15" borderId="15" xfId="0" applyFill="1" applyBorder="1" applyProtection="1">
      <protection locked="0"/>
    </xf>
    <xf numFmtId="10" fontId="0" fillId="0" borderId="0" xfId="0" applyNumberFormat="1"/>
    <xf numFmtId="0" fontId="13" fillId="0" borderId="0" xfId="0" applyFont="1"/>
    <xf numFmtId="2" fontId="0" fillId="11" borderId="20" xfId="0" applyNumberFormat="1" applyFill="1" applyBorder="1" applyProtection="1">
      <protection locked="0"/>
    </xf>
    <xf numFmtId="2" fontId="0" fillId="11" borderId="16" xfId="0" applyNumberFormat="1" applyFill="1" applyBorder="1" applyProtection="1">
      <protection locked="0"/>
    </xf>
    <xf numFmtId="4" fontId="0" fillId="15" borderId="3" xfId="0" applyNumberFormat="1" applyFill="1" applyBorder="1" applyProtection="1">
      <protection locked="0"/>
    </xf>
    <xf numFmtId="4" fontId="0" fillId="15" borderId="4" xfId="0" applyNumberFormat="1" applyFill="1" applyBorder="1" applyProtection="1">
      <protection locked="0"/>
    </xf>
    <xf numFmtId="4" fontId="0" fillId="15" borderId="15" xfId="0" applyNumberFormat="1" applyFill="1" applyBorder="1" applyProtection="1">
      <protection locked="0"/>
    </xf>
    <xf numFmtId="4" fontId="0" fillId="15" borderId="0" xfId="0" applyNumberFormat="1" applyFill="1" applyProtection="1">
      <protection locked="0"/>
    </xf>
    <xf numFmtId="4" fontId="0" fillId="15" borderId="20" xfId="0" applyNumberFormat="1" applyFill="1" applyBorder="1" applyProtection="1">
      <protection locked="0"/>
    </xf>
    <xf numFmtId="4" fontId="0" fillId="15" borderId="16" xfId="0" applyNumberFormat="1" applyFill="1" applyBorder="1" applyProtection="1">
      <protection locked="0"/>
    </xf>
    <xf numFmtId="4" fontId="0" fillId="11" borderId="20" xfId="0" applyNumberFormat="1" applyFill="1" applyBorder="1" applyProtection="1">
      <protection locked="0"/>
    </xf>
    <xf numFmtId="4" fontId="0" fillId="11" borderId="16" xfId="0" applyNumberFormat="1" applyFill="1" applyBorder="1" applyProtection="1">
      <protection locked="0"/>
    </xf>
    <xf numFmtId="2" fontId="0" fillId="11" borderId="21" xfId="0" applyNumberFormat="1" applyFill="1" applyBorder="1" applyProtection="1">
      <protection locked="0"/>
    </xf>
    <xf numFmtId="10" fontId="0" fillId="11" borderId="20" xfId="0" applyNumberFormat="1" applyFill="1" applyBorder="1" applyProtection="1">
      <protection locked="0"/>
    </xf>
    <xf numFmtId="10" fontId="0" fillId="11" borderId="0" xfId="0" applyNumberFormat="1" applyFill="1"/>
    <xf numFmtId="0" fontId="46" fillId="0" borderId="0" xfId="0" applyFont="1" applyProtection="1"/>
    <xf numFmtId="0" fontId="10" fillId="0" borderId="0" xfId="0" applyFont="1" applyAlignment="1">
      <alignment horizontal="center"/>
    </xf>
    <xf numFmtId="0" fontId="5" fillId="0" borderId="0" xfId="0" applyFont="1" applyAlignment="1">
      <alignment horizontal="center"/>
    </xf>
    <xf numFmtId="49" fontId="7" fillId="3" borderId="0" xfId="1" applyNumberFormat="1" applyFont="1" applyFill="1" applyAlignment="1" applyProtection="1">
      <alignment horizontal="left" vertical="center"/>
    </xf>
    <xf numFmtId="0" fontId="7" fillId="3" borderId="0" xfId="1" applyNumberFormat="1" applyFont="1" applyFill="1" applyAlignment="1" applyProtection="1">
      <alignment horizontal="left" vertical="center"/>
    </xf>
    <xf numFmtId="0" fontId="23" fillId="0" borderId="0" xfId="0" applyFont="1" applyAlignment="1">
      <alignment horizontal="left" wrapText="1"/>
    </xf>
    <xf numFmtId="4" fontId="5" fillId="0" borderId="0" xfId="0" applyNumberFormat="1" applyFont="1" applyBorder="1" applyAlignment="1" applyProtection="1">
      <alignment horizontal="center" vertical="center"/>
    </xf>
    <xf numFmtId="0" fontId="36" fillId="14" borderId="0" xfId="5" applyFont="1" applyAlignment="1">
      <alignment horizontal="center"/>
    </xf>
  </cellXfs>
  <cellStyles count="6">
    <cellStyle name="Gut" xfId="4" builtinId="26"/>
    <cellStyle name="Link" xfId="3" builtinId="8"/>
    <cellStyle name="Neutral" xfId="5" builtinId="28"/>
    <cellStyle name="Prozent" xfId="2" builtinId="5"/>
    <cellStyle name="Standard" xfId="0" builtinId="0"/>
    <cellStyle name="Währung" xfId="1" builtinId="4"/>
  </cellStyles>
  <dxfs count="1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Lukas Hendricks" id="{B32ACD09-7B69-422C-AAC7-EDFE78829D25}" userId="aea8c7b590f47f11"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 dT="2021-01-19T23:51:08.47" personId="{B32ACD09-7B69-422C-AAC7-EDFE78829D25}" id="{69EFE4AA-002B-4AEA-94B4-467EBF69F033}">
    <text>Für die Zwecke dieser Leitlinien gilt ein Unternehmen dann als Unternehmen in Schwierigkeiten, wenn es auf kurze oder mittlere Sicht so gut wie sicher zur Einstellung seiner Geschäftstätigkeiten gezwungen sein wird, wenn der Staat nicht eingreift. Im Sinne dieser Leitlinien befindet sich ein Unternehmen daher dann in Schwierigkeiten, wenn mindestens eine der folgenden Voraussetzungen erfüllt ist:
a) Im Falle von Gesellschaften mit beschränkter Haftung: Mehr als die Hälfte des gezeichneten Stammkapitals ist infolge aufgelaufener Verluste verlorengegangen. 
Dies ist der Fall, wenn sich nach Abzug der aufgelaufenen Verluste von den Rücklagen (und allen sonstigen Elementen, die im Allgemeinen den Eigenmitteln des Unternehmens zugerechnet werden) ein negativer kumulativer Betrag ergibt, der mehr als der Hälfte des gezeichneten Stammkapitals entspricht.
b) Im Falle von Gesellschaften, bei denen zumindest einige Gesellschafter unbeschränkt für die Schulden der Gesellschaft haften: Mehr als die Hälfte der in den Geschäftsbüchern ausgewiesenen Eigenmittel ist infolge aufgelaufener Verluste verlorengegangen.
c) Das Unternehmen ist Gegenstand eines Insolvenzverfahrens oder erfüllt die im innerstaatlichen Recht vorgesehenen Voraussetzungen für die Eröffnung eines Insolvenzverfahrens auf Antrag seiner Gläubiger.
Unter „Unternehmen in Schwierigkeiten“ werden in Schwierigkeiten befindliche Unternehmen im Sinne der Randnummer 20 dieser Leitlinien verstanden, und ein KMU wird in den ersten drei Jahren nach seiner Gründung nur dann als Unternehmen in Schwierigkeiten betrachtet, wenn es Gegenstand eines Insolvenzverfahrens ist.</text>
  </threadedComment>
</ThreadedComments>
</file>

<file path=xl/threadedComments/threadedComment2.xml><?xml version="1.0" encoding="utf-8"?>
<ThreadedComments xmlns="http://schemas.microsoft.com/office/spreadsheetml/2018/threadedcomments" xmlns:x="http://schemas.openxmlformats.org/spreadsheetml/2006/main">
  <threadedComment ref="A44" dT="2021-01-20T00:30:54.26" personId="{B32ACD09-7B69-422C-AAC7-EDFE78829D25}" id="{B6756020-2B93-4CF6-8365-1A0787BA1AA7}">
    <text>Mieten und Pachten für Gebäude, Grundstücke und Räumlichkeiten, die in unmittelbarem Zusammenhang mit der Geschäftstätigkeit des Unternehmens stehen inklusive Mietnebenkosten (soweit nicht unter Nr. 6 dieser Tabelle erfasst).
• Kosten für ein häusliches Arbeitszimmer, wenn sie bereits 2019 in entsprechender Form steuerlich abgesetzt worden sind/werden (volle steuerlich absetzbare Kosten, anteilig für die Fördermonate)</text>
  </threadedComment>
  <threadedComment ref="A46" dT="2021-01-19T14:35:22.13" personId="{B32ACD09-7B69-422C-AAC7-EDFE78829D25}" id="{1907820B-0634-4704-98A2-A65B6EA3C68E}">
    <text>(Leasinggeber bleibt wirtschaftlicher Eigentümer, zB. "normales KfZ-km-Leasing)</text>
  </threadedComment>
  <threadedComment ref="A47" dT="2021-01-20T00:31:14.89" personId="{B32ACD09-7B69-422C-AAC7-EDFE78829D25}" id="{82FBE957-2469-4F4B-B62E-DD2DB724A399}">
    <text>Miete von Fahrzeugen und Maschinen, die betrieblich genutzt werden, entsprechend ihres nach steuerlichen Vorschriften ermittelten Nutzungsanteils (inkl. Operating Leasing / Mietkaufverträge</text>
  </threadedComment>
  <threadedComment ref="A50" dT="2021-01-20T00:31:26.85" personId="{B32ACD09-7B69-422C-AAC7-EDFE78829D25}" id="{5F642A0D-D676-43CA-A161-609AB26F4949}">
    <text>Stundungszinsen bei Tilgungsaussetzung
• Zahlungen für die Kapitalüberlassung an Kreditgeber der Unternehmung, mit denen ein Kreditvertrag abgeschlossen worden ist (z.B. für Bankkredite)
• Kontokorrentzinsen</text>
  </threadedComment>
  <threadedComment ref="A53" dT="2021-01-19T14:36:11.50" personId="{B32ACD09-7B69-422C-AAC7-EDFE78829D25}" id="{F0DC45AE-4B87-425E-925C-590D5DEC1276}">
    <text>Leasingnehmer ist wirtschaftlicher Eigentümer -&gt; Wirtschaftsgut wird bei Leasingnehmer bilanziert - Aufwand für den Finanzierungskostenanteil für Finanzierungsleasingverträge
(Wenn keine vertragliche Festlegung oder keine Information der Leasinggesellschaft vorliegen, kann der Finanzierungskostenanteil durch die Zinszahlenstaffelmethode ermittelt werden. Alternativ können pauschal 2 % der Monatsraten erfasst werden.</text>
  </threadedComment>
  <threadedComment ref="A54" dT="2021-01-19T14:37:09.48" personId="{B32ACD09-7B69-422C-AAC7-EDFE78829D25}" id="{7A0CDF0D-91DE-4AE8-BBF9-5AAA77237705}">
    <text>gewarteter Vermögensgegenstand muss am 31.12.20. bereits im Anlagevermögen / in Nutzung gewesen sein</text>
  </threadedComment>
  <threadedComment ref="A58" dT="2021-01-20T00:33:11.09" personId="{B32ACD09-7B69-422C-AAC7-EDFE78829D25}" id="{C7D57D72-EA6E-49E7-9242-A96929BD4A0A}">
    <text>Zahlungen für notwendige Instandhaltung, Wartung oder Einlagerung von Anlagevermögen und gemieteten Vermögensgegenständen die bereits am 31.12. im Betrieb genutzt wurden, einschließlich der EDV, sofern diese aufwandswirksam sind (= Erhaltungs-aufwand), abgerechnet wurden ((Teil-)Rechnung liegt vor und nicht erstattet werden (z.B. durch Versicherungs-leistungen)).</text>
  </threadedComment>
  <threadedComment ref="A65" dT="2021-01-20T00:33:30.48" personId="{B32ACD09-7B69-422C-AAC7-EDFE78829D25}" id="{B01E2F08-2359-4339-A589-959FF48162A7}">
    <text>Inklusive Kosten für Kälte und Gas
• Zur Berücksichtigung der besonderen Corona-Situation werden hier auch Hygienemaßnahmen einschließlich investive Maßnahmen berücksichtigt, die nicht vor dem 1. September 2020 begründet sind (z.B. die Anschaffung mobiler Luftfilteranlagen und die Nachrüstung bereits bestehender stationärer Luftfilteranlagen, Maßnahmen zur temporären Verlagerung des Geschäftsbetriebs in Außenbereiche).</text>
  </threadedComment>
  <threadedComment ref="A71" dT="2021-01-20T00:33:45.16" personId="{B32ACD09-7B69-422C-AAC7-EDFE78829D25}" id="{D64501E4-E6F8-4963-90CB-587AD6A7B9D0}">
    <text>zum Beispiel für IT-Programme
• Zahlungen für Lizenzen für die Nutzung von gewerblichen Schutzrechten, Patenten, etc.</text>
  </threadedComment>
  <threadedComment ref="A91" dT="2021-01-20T00:34:51.75" personId="{B32ACD09-7B69-422C-AAC7-EDFE78829D25}" id="{1A99878D-A7A6-4D17-A39C-DFF6AAEDDA14}">
    <text>für betrieblich notwendige Tiere (z. B. im Falle von Zirkus- und Zoounternehmen), maximal in Höhe der Kosten im Vorjahreszeitraum</text>
  </threadedComment>
  <threadedComment ref="A94" dT="2021-01-20T00:29:11.15" personId="{B32ACD09-7B69-422C-AAC7-EDFE78829D25}" id="{0F94C168-A0AC-462A-A49D-44C4256C20F3}">
    <text>Ansatz der Steuerberatungskosten im ersten Fördermonat, für den ein Zuschuss gezahlt wird, im Monat der Fälligkeit oder gleichmäßig in allen Fördermonaten.
Kosten in Zusammenhang mit der Antragstellung (u. a. Kosten für die Plausibilisierung der Angaben sowie Erstellung des Antrags) und Schlussabrechnung (Schätzung)
• Kosten für Beratungsleistungen in Zusammenhang mit Überbrückungshilfe (2. Phase) (Schätzung)
• Kosten für weitere Leistungen in Zusammenhang mit Corona-Hilfen, sofern diese im Rahmen der Beantragung der Corona-Überbrückungshilfe (2. Phase) anfallen (z.B. Abgrenzungsfragen bei der Beantragung von Überbrückungskrediten). (Schätzung)</text>
  </threadedComment>
  <threadedComment ref="B94" dT="2021-01-20T00:29:33.94" personId="{B32ACD09-7B69-422C-AAC7-EDFE78829D25}" id="{A585902E-43B7-4F04-A267-240E4501D557}">
    <text>Ansatz der Steuerberatungskosten im ersten Fördermonat, für den ein Zuschuss gezahlt wird, im Monat der Fälligkeit oder gleichmäßig in allen Fördermonaten.</text>
  </threadedComment>
  <threadedComment ref="D94" dT="2021-01-20T00:29:44.74" personId="{B32ACD09-7B69-422C-AAC7-EDFE78829D25}" id="{A7505AF0-0720-43A8-ACEF-663472E27DA1}">
    <text>Ansatz der Steuerberatungskosten im ersten Fördermonat, für den ein Zuschuss gezahlt wird, im Monat der Fälligkeit oder gleichmäßig in allen Fördermonaten.</text>
  </threadedComment>
  <threadedComment ref="F94" dT="2021-01-20T00:29:52.84" personId="{B32ACD09-7B69-422C-AAC7-EDFE78829D25}" id="{462563F6-0ACF-4F0D-A04D-9E44FA59D9DB}">
    <text>Ansatz der Steuerberatungskosten im ersten Fördermonat, für den ein Zuschuss gezahlt wird, im Monat der Fälligkeit oder gleichmäßig in allen Fördermonaten.</text>
  </threadedComment>
  <threadedComment ref="H94" dT="2021-01-20T00:30:00.87" personId="{B32ACD09-7B69-422C-AAC7-EDFE78829D25}" id="{7DC9A3D6-3585-4F0F-BA90-41F6B90B744D}">
    <text>Ansatz der Steuerberatungskosten im ersten Fördermonat, für den ein Zuschuss gezahlt wird, im Monat der Fälligkeit oder gleichmäßig in allen Fördermonaten.</text>
  </threadedComment>
  <threadedComment ref="J94" dT="2021-01-20T00:29:44.74" personId="{B32ACD09-7B69-422C-AAC7-EDFE78829D25}" id="{1B55D121-ED23-4241-8BE1-980F0CBD5640}">
    <text>Ansatz der Steuerberatungskosten im ersten Fördermonat, für den ein Zuschuss gezahlt wird, im Monat der Fälligkeit oder gleichmäßig in allen Fördermonaten.</text>
  </threadedComment>
  <threadedComment ref="L94" dT="2021-01-20T00:29:44.74" personId="{B32ACD09-7B69-422C-AAC7-EDFE78829D25}" id="{B0BC4FB5-C9F5-4385-8837-9D2609CDBD84}">
    <text>Ansatz der Steuerberatungskosten im ersten Fördermonat, für den ein Zuschuss gezahlt wird, im Monat der Fälligkeit oder gleichmäßig in allen Fördermonaten.</text>
  </threadedComment>
  <threadedComment ref="N94" dT="2021-01-20T00:29:52.84" personId="{B32ACD09-7B69-422C-AAC7-EDFE78829D25}" id="{9BAE2DE6-7D2F-4D29-97F0-502AA0C7682D}">
    <text>Ansatz der Steuerberatungskosten im ersten Fördermonat, für den ein Zuschuss gezahlt wird, im Monat der Fälligkeit oder gleichmäßig in allen Fördermonaten.</text>
  </threadedComment>
  <threadedComment ref="P94" dT="2021-01-20T00:30:00.87" personId="{B32ACD09-7B69-422C-AAC7-EDFE78829D25}" id="{B5524302-7CDF-4E68-93BB-5AD19B968EEE}">
    <text>Ansatz der Steuerberatungskosten im ersten Fördermonat, für den ein Zuschuss gezahlt wird, im Monat der Fälligkeit oder gleichmäßig in allen Fördermonaten.</text>
  </threadedComment>
  <threadedComment ref="A98" dT="2021-01-20T00:43:16.49" personId="{B32ACD09-7B69-422C-AAC7-EDFE78829D25}" id="{40D008BF-3D50-4CFD-B9DF-F6BEE80FB171}">
    <text>Lohnkosten inklusive Sozialversicherungsbeiträgen
• Unmittelbar mit der Ausbildung verbundene Kosten wie z. B. Berufsschulkosten
• Kosten für FSJ’ler, FÖJ‘ler und BFD’ler (nur Eigenanteil)
• Kosten für Dual Studierende (Voraussetzung: Ausbildungsvertrag für gesamte Dauer der Ausbildung mit Ausbildungsvergütung)</text>
  </threadedComment>
  <threadedComment ref="A99" dT="2021-02-05T14:13:11.90" personId="{B32ACD09-7B69-422C-AAC7-EDFE78829D25}" id="{631D2B8B-7C6F-471C-BAB6-BC752480E14A}">
    <text>Zuschlag auch auf AfA, Modernisierung, Digitalisierung, Marketing nach FAQ</text>
  </threadedComment>
  <threadedComment ref="A100" dT="2021-01-20T00:43:49.46" personId="{B32ACD09-7B69-422C-AAC7-EDFE78829D25}" id="{3E3EB309-2D28-4EE7-B61A-1772DB6CD88F}">
    <text>Für Reisebüros: Provisionen für stornierte Pauschalreisen. Es wird unwiderleglich vermutet, dass die Inhaber von Reisebüros den Reiseveranstaltern die Provisionen aufgrund Corona-bedingter Stornierungen zurückgezahlt oder zurückzuzahlen haben bzw. die Provisionen wegen einer Corona-bedingten Stornierung einer Pauschalreise ausbleiben. Reisebüros im Sinne der Überbrückungshilfe sind alle Vermittler von Pauschalreisen, unabhängig davon, ob die Vermittlung im stationären Vertrieb erfolgt.
• Für Reiseveranstalter bis 249 MA: kalkulierte Margen analog §25 UStG für stornierte Pauschalreisen. Es wird dann unwiderleglich vermutet, dass die Margen Corona-bedingt nicht realisiert werden konnten. Die kalkulierte Veranstalter-Marge ist um die kalkulierten Reisebüro-Provisionen zu vermindern, wenn die Reise über ein Reisebüro verkauft wurde.
• Bei der Antragstellung sind die Provisionen bzw. die kalkulierten Margen für stornierte Reisen grundsätzlich im Monat des Reiseantritts geltend zu machen. Die Provisionen bzw. kalkulierten Margen für stornierte Reisen mit
Buchungsdatum ab dem 18. März 2020 und mit Reiseantritt bis 31. August 2020 sind den Fördermonaten September bis Dezember zu gleichen Teilen zuzuschlagen oder im ersten Fördermonat anzusetzen (Wahlrecht).
Diese Kostenposition kann nur von Reisebüros und Reiseveranstaltern geltend gemacht werden.</text>
  </threadedComment>
  <threadedComment ref="A101" dT="2021-02-12T19:30:13.40" personId="{B32ACD09-7B69-422C-AAC7-EDFE78829D25}" id="{D8749F2F-60D3-42CF-864F-6E9CA290BDE5}">
    <text>zeitliche Zuordnung nach Belieben</text>
  </threadedComment>
  <threadedComment ref="A102" dT="2021-02-12T19:26:56.66" personId="{B32ACD09-7B69-422C-AAC7-EDFE78829D25}" id="{60B94D98-74B1-4794-9CC7-0140A4D3CE6D}">
    <text>zeitliche Zuordnung nach Belieben</text>
  </threadedComment>
  <threadedComment ref="A103" dT="2021-02-12T19:27:03.19" personId="{B32ACD09-7B69-422C-AAC7-EDFE78829D25}" id="{1223010B-05AC-4BCE-BDD0-75B6C7B47918}">
    <text>zeitliche Zuordnung nach Belieben</text>
  </threadedComment>
  <threadedComment ref="A104" dT="2021-02-12T19:27:17.85" personId="{B32ACD09-7B69-422C-AAC7-EDFE78829D25}" id="{C765ECD6-A48F-45C6-9786-94DA83B9A0F9}">
    <text>vor dem 01.01.2021 beauftragt</text>
  </threadedComment>
  <threadedComment ref="A106" dT="2021-02-12T19:27:46.28" personId="{B32ACD09-7B69-422C-AAC7-EDFE78829D25}" id="{44BB90EA-F26D-4318-A378-6473F8FE9957}">
    <text>siehe Reiter Ermittlung TW-AfA</text>
  </threadedComment>
  <threadedComment ref="A107" dT="2021-02-11T01:52:32.63" personId="{B32ACD09-7B69-422C-AAC7-EDFE78829D25}" id="{0666D09D-E5BB-4F2C-B24D-94031C352D5A}">
    <text>Gilt für: Unternehmen der Pyrotechnikindustrie, die unmittelbar vom Verkaufsverbot für Pyrotechnik im Dezember 2020 betroffen sind und einen Umsatzeinbruch von mindestens 80 Prozent ggü. dem Vorjahresmonat erlitten haben.</text>
  </threadedComment>
  <threadedComment ref="A108" dT="2021-02-11T01:52:48.88" personId="{B32ACD09-7B69-422C-AAC7-EDFE78829D25}" id="{C920A6B2-D22B-4B46-BDC2-C12ED7F9F84F}">
    <text>Gilt für: Unternehmen der Pyrotechnikindustrie, die unmittelbar vom Verkaufsverbot für Pyrotechnik im Dezember 2020 betroffen sind und einen Umsatzeinbruch von mindestens 80 Prozent ggü. dem Vorjahresmonat erlitten haben.</text>
  </threadedComment>
  <threadedComment ref="A112" dT="2021-01-20T00:45:19.79" personId="{B32ACD09-7B69-422C-AAC7-EDFE78829D25}" id="{9E1F0EBA-D3E8-4C98-90FA-5160480E20BD}">
    <text>Wenn die Beschäftigung im Unternehmen saisonal oder projektbezogen stark schwankt, kann die Beschäftigtenzahl alternativ ermittelt werden als:
a) der Jahresdurchschnitt der Beschäftigten in 2019
oder
b) Beschäftigte im jeweiligen Monat des Vorjahres oder eines anderen Vorjahresmonats im Rahmen der Fördermonate (Juni – August 2019).</text>
  </threadedComment>
  <threadedComment ref="A123" dT="2021-01-19T14:39:35.61" personId="{B32ACD09-7B69-422C-AAC7-EDFE78829D25}" id="{D0704892-BBE8-4EE8-85CE-567C9DFCA7E3}">
    <text>Dem Unternehmen müssen hierfür Personalkosten entstehen (es dürfen nicht alle Angestellten in kompletter Kurzarbeit sein).
Nicht durch KUG erfasste Personalkosten: Personalkosten für Mitarbeiter, die nicht in 100% KUG sind, Minijobber, Aufstockung KUG gezahlt</text>
  </threadedComment>
</ThreadedComments>
</file>

<file path=xl/threadedComments/threadedComment3.xml><?xml version="1.0" encoding="utf-8"?>
<ThreadedComments xmlns="http://schemas.microsoft.com/office/spreadsheetml/2018/threadedcomments" xmlns:x="http://schemas.openxmlformats.org/spreadsheetml/2006/main">
  <threadedComment ref="A14" dT="2021-01-20T00:30:54.26" personId="{B32ACD09-7B69-422C-AAC7-EDFE78829D25}" id="{77808A07-E286-4FBE-A884-566E1BEF013B}">
    <text>Mieten und Pachten für Gebäude, Grundstücke und Räumlichkeiten, die in unmittelbarem Zusammenhang mit der Geschäftstätigkeit des Unternehmens stehen inklusive Mietnebenkosten (soweit nicht unter Nr. 6 dieser Tabelle erfasst).
• Kosten für ein häusliches Arbeitszimmer, wenn sie bereits 2019 in entsprechender Form steuerlich abgesetzt worden sind/werden (volle steuerlich absetzbare Kosten, anteilig für die Fördermonate)</text>
  </threadedComment>
  <threadedComment ref="A16" dT="2021-01-19T14:35:22.13" personId="{B32ACD09-7B69-422C-AAC7-EDFE78829D25}" id="{105290EE-CA50-4F4F-BB7A-1C4D86938464}">
    <text>(Leasinggeber bleibt wirtschaftlicher Eigentümer, zB. "normales KfZ-km-Leasing)</text>
  </threadedComment>
  <threadedComment ref="A17" dT="2021-01-20T00:31:14.89" personId="{B32ACD09-7B69-422C-AAC7-EDFE78829D25}" id="{332C7B1D-69DD-44A1-A825-1DC81DF39385}">
    <text>Miete von Fahrzeugen und Maschinen, die betrieblich genutzt werden, entsprechend ihres nach steuerlichen Vorschriften ermittelten Nutzungsanteils (inkl. Operating Leasing / Mietkaufverträge</text>
  </threadedComment>
  <threadedComment ref="A20" dT="2021-01-20T00:31:26.85" personId="{B32ACD09-7B69-422C-AAC7-EDFE78829D25}" id="{8FB7428A-E2AF-46E6-A47B-A704BC1CDFC5}">
    <text>Stundungszinsen bei Tilgungsaussetzung
• Zahlungen für die Kapitalüberlassung an Kreditgeber der Unternehmung, mit denen ein Kreditvertrag abgeschlossen worden ist (z.B. für Bankkredite)
• Kontokorrentzinsen</text>
  </threadedComment>
  <threadedComment ref="A23" dT="2021-01-19T14:36:11.50" personId="{B32ACD09-7B69-422C-AAC7-EDFE78829D25}" id="{10A49E71-EFC9-464A-B747-E8DB25908923}">
    <text>Leasingnehmer ist wirtschaftlicher Eigentümer -&gt; Wirtschaftsgut wird bei Leasingnehmer bilanziert - Aufwand für den Finanzierungskostenanteil für Finanzierungsleasingverträge
(Wenn keine vertragliche Festlegung oder keine Information der Leasinggesellschaft vorliegen, kann der Finanzierungskostenanteil durch die Zinszahlenstaffelmethode ermittelt werden. Alternativ können pauschal 2 % der Monatsraten erfasst werden.</text>
  </threadedComment>
  <threadedComment ref="A24" dT="2021-01-19T14:37:09.48" personId="{B32ACD09-7B69-422C-AAC7-EDFE78829D25}" id="{179B1C65-AFFF-4E4A-8AFB-D59A283ACB3C}">
    <text>gewarteter Vermögensgegenstand muss am 30.08. bereits im Anlagevermögen / in Nutzung gewesen sein</text>
  </threadedComment>
  <threadedComment ref="A28" dT="2021-01-20T00:33:11.09" personId="{B32ACD09-7B69-422C-AAC7-EDFE78829D25}" id="{8DC590EC-C5EC-4E46-BEA9-F3FEDFDD46EF}">
    <text>Zahlungen für notwendige Instandhaltung, Wartung oder Einlagerung von Anlagevermögen und gemieteten Vermögensgegenständen die bereits am 30.08. im Betrieb genutzt wurden, einschließlich der EDV, sofern diese aufwandswirksam sind (= Erhaltungs-aufwand), abgerechnet wurden ((Teil-)Rechnung liegt vor und nicht erstattet werden (z.B. durch Versicherungs-leistungen)).</text>
  </threadedComment>
  <threadedComment ref="A35" dT="2021-01-20T00:33:30.48" personId="{B32ACD09-7B69-422C-AAC7-EDFE78829D25}" id="{3B7DB1D5-591E-4571-8623-C1D235D6B990}">
    <text>Inklusive Kosten für Kälte und Gas
• Zur Berücksichtigung der besonderen Corona-Situation werden hier auch Hygienemaßnahmen einschließlich investive Maßnahmen berücksichtigt, die nicht vor dem 1. September 2020 begründet sind (z.B. die Anschaffung mobiler Luftfilteranlagen und die Nachrüstung bereits bestehender stationärer Luftfilteranlagen, Maßnahmen zur temporären Verlagerung des Geschäftsbetriebs in Außenbereiche).</text>
  </threadedComment>
  <threadedComment ref="A41" dT="2021-01-20T00:33:45.16" personId="{B32ACD09-7B69-422C-AAC7-EDFE78829D25}" id="{BC10BF46-BDB0-49FA-91CE-ECE2C73ACF03}">
    <text>zum Beispiel für IT-Programme
• Zahlungen für Lizenzen für die Nutzung von gewerblichen Schutzrechten, Patenten, etc.</text>
  </threadedComment>
  <threadedComment ref="A61" dT="2021-01-20T00:34:51.75" personId="{B32ACD09-7B69-422C-AAC7-EDFE78829D25}" id="{05357C48-F043-480E-8132-98DE517AE3D1}">
    <text>für betrieblich notwendige Tiere (z. B. im Falle von Zirkus- und Zoounternehmen), maximal in Höhe der Kosten im Vorjahreszeitraum</text>
  </threadedComment>
  <threadedComment ref="A64" dT="2021-01-20T00:29:11.15" personId="{B32ACD09-7B69-422C-AAC7-EDFE78829D25}" id="{51D7DD4D-8EB1-4697-870B-AF49770156C5}">
    <text>Ansatz der Steuerberatungskosten im ersten Fördermonat, für den ein Zuschuss gezahlt wird, im Monat der Fälligkeit oder gleichmäßig in allen Fördermonaten.
Kosten in Zusammenhang mit der Antragstellung (u. a. Kosten für die Plausibilisierung der Angaben sowie Erstellung des Antrags) und Schlussabrechnung (Schätzung)
• Kosten für Beratungsleistungen in Zusammenhang mit Überbrückungshilfe (2. Phase) (Schätzung)
• Kosten für weitere Leistungen in Zusammenhang mit Corona-Hilfen, sofern diese im Rahmen der Beantragung der Corona-Überbrückungshilfe (2. Phase) anfallen (z.B. Abgrenzungsfragen bei der Beantragung von Überbrückungskrediten). (Schätzung)</text>
  </threadedComment>
  <threadedComment ref="B64" dT="2021-01-20T00:29:33.94" personId="{B32ACD09-7B69-422C-AAC7-EDFE78829D25}" id="{B9F0640E-5E0D-4BB7-AB89-F23208785E7A}">
    <text>Ansatz der Steuerberatungskosten im ersten Fördermonat, für den ein Zuschuss gezahlt wird, im Monat der Fälligkeit oder gleichmäßig in allen Fördermonaten.</text>
  </threadedComment>
  <threadedComment ref="D64" dT="2021-01-20T00:29:44.74" personId="{B32ACD09-7B69-422C-AAC7-EDFE78829D25}" id="{1C876211-DAFA-4A4A-AC14-3BF5E62EB45B}">
    <text>Ansatz der Steuerberatungskosten im ersten Fördermonat, für den ein Zuschuss gezahlt wird, im Monat der Fälligkeit oder gleichmäßig in allen Fördermonaten.</text>
  </threadedComment>
  <threadedComment ref="F64" dT="2021-01-20T00:29:52.84" personId="{B32ACD09-7B69-422C-AAC7-EDFE78829D25}" id="{48D0836F-8E6D-4D5A-A503-33E050F7A268}">
    <text>Ansatz der Steuerberatungskosten im ersten Fördermonat, für den ein Zuschuss gezahlt wird, im Monat der Fälligkeit oder gleichmäßig in allen Fördermonaten.</text>
  </threadedComment>
  <threadedComment ref="H64" dT="2021-01-20T00:30:00.87" personId="{B32ACD09-7B69-422C-AAC7-EDFE78829D25}" id="{27A9AC98-1B54-4559-8C0C-060B1F7573AD}">
    <text>Ansatz der Steuerberatungskosten im ersten Fördermonat, für den ein Zuschuss gezahlt wird, im Monat der Fälligkeit oder gleichmäßig in allen Fördermonaten.</text>
  </threadedComment>
  <threadedComment ref="J64" dT="2021-01-20T00:29:44.74" personId="{B32ACD09-7B69-422C-AAC7-EDFE78829D25}" id="{0680238D-1589-4308-85D4-A2DF30D54AA4}">
    <text>Ansatz der Steuerberatungskosten im ersten Fördermonat, für den ein Zuschuss gezahlt wird, im Monat der Fälligkeit oder gleichmäßig in allen Fördermonaten.</text>
  </threadedComment>
  <threadedComment ref="L64" dT="2021-01-20T00:29:44.74" personId="{B32ACD09-7B69-422C-AAC7-EDFE78829D25}" id="{EB9DF9AA-D930-4184-87BD-7F1D6A020CA6}">
    <text>Ansatz der Steuerberatungskosten im ersten Fördermonat, für den ein Zuschuss gezahlt wird, im Monat der Fälligkeit oder gleichmäßig in allen Fördermonaten.</text>
  </threadedComment>
  <threadedComment ref="N64" dT="2021-01-20T00:29:52.84" personId="{B32ACD09-7B69-422C-AAC7-EDFE78829D25}" id="{34EA48B8-7566-4A68-8040-AA1FD891BE69}">
    <text>Ansatz der Steuerberatungskosten im ersten Fördermonat, für den ein Zuschuss gezahlt wird, im Monat der Fälligkeit oder gleichmäßig in allen Fördermonaten.</text>
  </threadedComment>
  <threadedComment ref="P64" dT="2021-01-20T00:30:00.87" personId="{B32ACD09-7B69-422C-AAC7-EDFE78829D25}" id="{6471A123-A0E4-49C6-A0FF-8F573B624DFF}">
    <text>Ansatz der Steuerberatungskosten im ersten Fördermonat, für den ein Zuschuss gezahlt wird, im Monat der Fälligkeit oder gleichmäßig in allen Fördermonaten.</text>
  </threadedComment>
  <threadedComment ref="A68" dT="2021-01-20T00:43:16.49" personId="{B32ACD09-7B69-422C-AAC7-EDFE78829D25}" id="{F60BD195-EB4B-4D50-B2CD-E7C450C15001}">
    <text>Lohnkosten inklusive Sozialversicherungsbeiträgen
• Unmittelbar mit der Ausbildung verbundene Kosten wie z. B. Berufsschulkosten
• Kosten für FSJ’ler, FÖJ‘ler und BFD’ler (nur Eigenanteil)
• Kosten für Dual Studierende (Voraussetzung: Ausbildungsvertrag für gesamte Dauer der Ausbildung mit Ausbildungsvergütung)</text>
  </threadedComment>
  <threadedComment ref="A69" dT="2021-02-05T14:13:11.90" personId="{B32ACD09-7B69-422C-AAC7-EDFE78829D25}" id="{D341CF66-18D4-41E3-A768-85906736A903}">
    <text>Zuschlag auch auf AfA, Modernisierung, Digitalisierung, Marketing nach FAQ</text>
  </threadedComment>
  <threadedComment ref="A70" dT="2021-01-20T00:43:49.46" personId="{B32ACD09-7B69-422C-AAC7-EDFE78829D25}" id="{11CBD4E6-6905-41BB-A5BE-2164E0BB4478}">
    <text>Für Reisebüros: Provisionen für stornierte Pauschalreisen. Es wird unwiderleglich vermutet, dass die Inhaber von Reisebüros den Reiseveranstaltern die Provisionen aufgrund Corona-bedingter Stornierungen zurückgezahlt oder zurückzuzahlen haben bzw. die Provisionen wegen einer Corona-bedingten Stornierung einer Pauschalreise ausbleiben. Reisebüros im Sinne der Überbrückungshilfe sind alle Vermittler von Pauschalreisen, unabhängig davon, ob die Vermittlung im stationären Vertrieb erfolgt.
• Für Reiseveranstalter bis 249 MA: kalkulierte Margen analog §25 UStG für stornierte Pauschalreisen. Es wird dann unwiderleglich vermutet, dass die Margen Corona-bedingt nicht realisiert werden konnten. Die kalkulierte Veranstalter-Marge ist um die kalkulierten Reisebüro-Provisionen zu vermindern, wenn die Reise über ein Reisebüro verkauft wurde.
• Bei der Antragstellung sind die Provisionen bzw. die kalkulierten Margen für stornierte Reisen grundsätzlich im Monat des Reiseantritts geltend zu machen. Die Provisionen bzw. kalkulierten Margen für stornierte Reisen mit
Buchungsdatum ab dem 18. März 2020 und mit Reiseantritt bis 31. August 2020 sind den Fördermonaten September bis Dezember zu gleichen Teilen zuzuschlagen oder im ersten Fördermonat anzusetzen (Wahlrecht).
Diese Kostenposition kann nur von Reisebüros und Reiseveranstaltern geltend gemacht werden.</text>
  </threadedComment>
  <threadedComment ref="A78" dT="2021-01-20T00:45:19.79" personId="{B32ACD09-7B69-422C-AAC7-EDFE78829D25}" id="{A3F1C39F-E294-47B4-B40A-16692567162D}">
    <text>Wenn die Beschäftigung im Unternehmen saisonal oder projektbezogen stark schwankt, kann die Beschäftigtenzahl alternativ ermittelt werden als:
a) der Jahresdurchschnitt der Beschäftigten in 2019
oder
b) Beschäftigte im jeweiligen Monat des Vorjahres oder eines anderen Vorjahresmonats im Rahmen der Fördermonate (Juni – August 2019).</text>
  </threadedComment>
  <threadedComment ref="A89" dT="2021-01-19T14:39:35.61" personId="{B32ACD09-7B69-422C-AAC7-EDFE78829D25}" id="{3C2541CA-DA76-4658-BED4-AF23FBAB6071}">
    <text>Dem Unternehmen müssen hierfür Personalkosten entstehen (es dürfen nicht alle Angestellten in kompletter Kurzarbeit sein).
Nicht durch KUG erfasste Personalkosten: Personalkosten für Mitarbeiter, die nicht in 100% KUG sind, Minijobber, Aufstockung KUG gezahlt</text>
  </threadedComment>
</ThreadedComments>
</file>

<file path=xl/threadedComments/threadedComment4.xml><?xml version="1.0" encoding="utf-8"?>
<ThreadedComments xmlns="http://schemas.microsoft.com/office/spreadsheetml/2018/threadedcomments" xmlns:x="http://schemas.openxmlformats.org/spreadsheetml/2006/main">
  <threadedComment ref="B5" dT="2021-01-21T00:04:43.81" personId="{B32ACD09-7B69-422C-AAC7-EDFE78829D25}" id="{B2EBBD20-5409-49E9-93EE-3522B2D1F084}">
    <text>Bezeichnung der Warenpositionen, zB. Weihnachtsartikel, Feuerwerkskörper und Winterkleidung, verderbliche Ware.</text>
  </threadedComment>
  <threadedComment ref="D5" dT="2021-02-11T01:21:02.89" personId="{B32ACD09-7B69-422C-AAC7-EDFE78829D25}" id="{EDD98EC7-3BBD-44A2-8DA1-FEEDCED11ABF}">
    <text>inkl. Anschaffungsnebenkosten, ohne sonstige Kosten</text>
  </threadedComment>
  <threadedComment ref="E5" dT="2021-02-11T01:21:56.33" personId="{B32ACD09-7B69-422C-AAC7-EDFE78829D25}" id="{F197E63D-A581-4730-818B-0B16B450C512}">
    <text>voraussichtliche Veräusserungserlöse, geschätzt, mind. 10% der AK, ausser bei Spende an gemeinnützigen Empfänger</text>
  </threadedComment>
</ThreadedComments>
</file>

<file path=xl/threadedComments/threadedComment5.xml><?xml version="1.0" encoding="utf-8"?>
<ThreadedComments xmlns="http://schemas.microsoft.com/office/spreadsheetml/2018/threadedcomments" xmlns:x="http://schemas.openxmlformats.org/spreadsheetml/2006/main">
  <threadedComment ref="B7" dT="2021-01-20T23:27:52.15" personId="{B32ACD09-7B69-422C-AAC7-EDFE78829D25}" id="{CE4EA88C-2C23-4A31-BBD1-97A36536376F}">
    <text>Deckungsbeitrag nur wenn positiv, da sonst kein Deckungsbeitrag zu den Fixkosten</text>
  </threadedComment>
  <threadedComment ref="A8" dT="2021-01-20T23:28:17.18" personId="{B32ACD09-7B69-422C-AAC7-EDFE78829D25}" id="{7D0775D5-B2CA-493A-9971-A958157C1F96}">
    <text>zusätzliches Kostendeckungspotential</text>
  </threadedComment>
  <threadedComment ref="A9" dT="2021-01-22T00:46:22.51" personId="{B32ACD09-7B69-422C-AAC7-EDFE78829D25}" id="{66ACD0AB-8B23-41A1-9649-023DE37A87A3}">
    <text>hier jegliche Corona-Beihilfe mit Zuschuß-Charakter eintragen, aber nicht: Darlehen, Kurzarbeitergeld</text>
  </threadedComment>
  <threadedComment ref="A12" dT="2021-01-20T23:30:59.35" personId="{B32ACD09-7B69-422C-AAC7-EDFE78829D25}" id="{62657B9A-C020-430C-A29F-086AB75EB5CE}">
    <text>Zur Bestimmung des Verlusts können alle Fixkosten herangezogen werden – also auch solche, die im Rahmen der Überbrückungshilfe nicht förderfähig sind (und daher nicht in der Liste unter 2.4 FAQ zur Überbrückungshilfe II aufgeführt sind).</text>
  </threadedComment>
  <threadedComment ref="A13" dT="2021-01-20T23:29:17.20" personId="{B32ACD09-7B69-422C-AAC7-EDFE78829D25}" id="{93346E1A-628E-481C-9950-438238D73D1C}">
    <text>im Rahmen der Höchstbetragsermittlung in voller Höhe berücksichtigungsfähig.
Kurzarbeitergeld müssen Unternehmen insoweit bei der Bestimmung ihrer ungedeckten Fixkosten berücksichtigen, als dadurch ihre Personalkosten verringert werden.</text>
  </threadedComment>
  <threadedComment ref="A32" dT="2021-01-20T23:31:44.50" personId="{B32ACD09-7B69-422C-AAC7-EDFE78829D25}" id="{006992BC-1A6C-42F8-8548-53409BAB9669}">
    <text>Im Rahmen der Überbrückungshilfe II sind sämtliche Kosten, die durch die Überbrückungshilfe II förderfähig sind, in diesem Sinne den Fixkosten gleichgestellt. Solche Kosten dürfen auch dann bei der Ermittlung der ungedeckten Fixkosten berücksichtigt werden, wenn sie üblicherweise nicht Teil einer steuerlichen Gewinn- und Verlustrechnung oder einer handelsüblichen Ausweisung der Gewinne und Verluste sind.</text>
  </threadedComment>
  <threadedComment ref="A33" dT="2021-01-20T23:40:29.12" personId="{B32ACD09-7B69-422C-AAC7-EDFE78829D25}" id="{7FCB772B-85C4-4B6F-9636-7BF3ACE7DDB9}">
    <text>Tilgungszahlungen bis zur Höhe der steuerlichen Abschreibungen können als regulärer Teil der steuerlichen Gewinn- und Verlustrechnung bei der Bestimmung der ungedeckten Fixkosten berücksichtigt werden.
Tilgungszahlungen: Diese können bis zur Höhe der steuerlichen Abschreibung als regulärer Teil der steuerlichen Gewinn- und Verlustrechnung bei der Bestimmung der ungedeckten Fixkosten berücksichtigt werden. Sofern eine individuell vereinbarte Tilgung höher sein sollte als die Abschreibung, muss der Betrag entsprechend „gedeckelt“ werden. Es ist nicht möglich, die Tilgungszahlung zusätzlich zur Abschreibung zu berücksichtigen.</text>
  </threadedComment>
  <threadedComment ref="A34" dT="2021-02-02T17:19:37.85" personId="{B32ACD09-7B69-422C-AAC7-EDFE78829D25}" id="{D6FCAABB-DF8E-483F-B28C-55DF43CBB381}">
    <text>Die Pfändungsfreigrenze beträgt hiernach grundsätzlich 1.178,59 EUR monatlich.
Sofern gesetzliche Unterhaltspflichten bestehen, erhöht sich dieser Betrag um 443,57 EUR monatlich für die erste unterhaltspflichtige Person, 247,12 EUR monatlich für die zweite bis fünfte unterhaltspflichtige Person, bis zu maximal 2.610,63 EUR monatlich.
Sofern der Gewinn im angesetzten Monat den o.g. Betrag übersteigt, darf der überschießende Teil in Höhe von drei Zehnteln, oder, wenn Unterhaltspflichten bestehen, zu zwei weiteren Zehnteln für die erste Person, der Unterhalt gewährt wird, und je einem weiteren Zehntel für die zweite bis fünfte Person aufsummiert werden. Maximal ansetzbar sind hier 3.613,08 EUR monatlich.
Achtung: Die obenstehenden Beträge sind Nettobeträge. Um diese an Bruttowerte anzugleichen, ist zur Berücksichtigung von Sozialversicherungsbeiträgen und Steuern jeweils ein pauschaler Aufschlag um 40 Prozent zulässig. Alternativ kann aus Vereinfachungsgründen auch ein Pauschalbetrag in Höhe von 2.000 EUR brutto monatlich angesetzt werden.
Weitere Einnahmen aus anderen Quellen (z.B. aus Vermietung) mindern die Höhe des ansetzbaren fiktiven Unternehmerlohns an dieser Stelle nicht.</text>
  </threadedComment>
  <threadedComment ref="A43" dT="2021-01-20T23:49:20.01" personId="{B32ACD09-7B69-422C-AAC7-EDFE78829D25}" id="{474AE6E9-1E01-40D2-B8F2-00DD716B2B37}">
    <text>100 % TW-AfA Saisonware Textil, Feuerwerk, verderbliche Ware möglich !</text>
  </threadedComment>
  <threadedComment ref="L53" dT="2021-02-06T01:04:57.73" personId="{B32ACD09-7B69-422C-AAC7-EDFE78829D25}" id="{F7B6701A-D168-4ED1-9BAD-70208A3EDA47}">
    <text>Die Bestimmung des Gesamtverlusts aus allen berücksichtigten Monaten aus dem beihilfefähigen Zeitraum erfolgt durch einfache Summierung der Verluste zu einem Gesamtbetrag. Was von diesem Gesamtbetrag nach Anwendung auf ein Hilfsprogramm noch übrig bleibt, kann dann für weitere fixkostenbasierte Unterstützungsprogramme verwendet werden. Im obenstehenden Beispiel mit einem Verlust von März bis Dezember 2020 in Höhe von insg. 255.000 EUR, in dem das Unternehmen Überbrückungshilfe II in Höhe von beispielsweise 100.000 EUR beantragt hat, können die restlichen 155.000 EUR gesammelter Verluste z.B. für die Dezemberhilfe Plus angerechnet werden.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ur-lex.europa.eu/legal-content/DE/TXT/?uri=CELEX%3A52014XC0731%2801%29"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s://www.smart-rechner.de/pfaendung/rechner.php" TargetMode="External"/><Relationship Id="rId5" Type="http://schemas.microsoft.com/office/2017/10/relationships/threadedComment" Target="../threadedComments/threadedComment5.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7"/>
  <sheetViews>
    <sheetView topLeftCell="A7" workbookViewId="0">
      <selection activeCell="D37" sqref="D37"/>
    </sheetView>
  </sheetViews>
  <sheetFormatPr baseColWidth="10" defaultColWidth="11.42578125" defaultRowHeight="15" x14ac:dyDescent="0.2"/>
  <cols>
    <col min="1" max="1" width="43.7109375" style="10" customWidth="1"/>
    <col min="2" max="2" width="16.85546875" style="10" customWidth="1"/>
    <col min="3" max="3" width="12.140625" style="10" customWidth="1"/>
    <col min="4" max="4" width="13" style="10" customWidth="1"/>
    <col min="5" max="5" width="6.7109375" style="10" customWidth="1"/>
    <col min="6" max="6" width="21" style="10" customWidth="1"/>
    <col min="7" max="7" width="6.7109375" style="10" customWidth="1"/>
    <col min="8" max="8" width="21" style="10" customWidth="1"/>
    <col min="9" max="9" width="6.7109375" style="10" customWidth="1"/>
    <col min="10" max="10" width="21" style="10" customWidth="1"/>
    <col min="11" max="11" width="6.7109375" style="10" customWidth="1"/>
    <col min="12" max="12" width="16" style="10" bestFit="1" customWidth="1"/>
    <col min="13" max="13" width="4.85546875" style="10" customWidth="1"/>
    <col min="14" max="14" width="13" style="10" bestFit="1" customWidth="1"/>
    <col min="15" max="15" width="29.140625" style="10" customWidth="1"/>
    <col min="16" max="16384" width="11.42578125" style="10"/>
  </cols>
  <sheetData>
    <row r="1" spans="1:15" ht="15.75" x14ac:dyDescent="0.2">
      <c r="A1" s="128" t="s">
        <v>0</v>
      </c>
      <c r="B1" s="2"/>
      <c r="C1" s="2"/>
      <c r="D1" s="2"/>
      <c r="E1" s="2"/>
      <c r="F1" s="2"/>
      <c r="G1" s="2"/>
      <c r="H1" s="2" t="s">
        <v>1</v>
      </c>
      <c r="J1" s="40" t="s">
        <v>106</v>
      </c>
      <c r="M1" s="2"/>
    </row>
    <row r="2" spans="1:15" ht="15.75" x14ac:dyDescent="0.2">
      <c r="A2" s="128" t="s">
        <v>206</v>
      </c>
      <c r="B2" s="2"/>
      <c r="C2" s="2"/>
      <c r="D2" s="2"/>
      <c r="E2" s="2"/>
      <c r="F2" s="2"/>
      <c r="G2" s="2"/>
      <c r="H2" s="2" t="s">
        <v>2</v>
      </c>
      <c r="J2" s="40" t="s">
        <v>186</v>
      </c>
      <c r="M2" s="2"/>
    </row>
    <row r="3" spans="1:15" ht="15.75" x14ac:dyDescent="0.2">
      <c r="A3" s="128" t="s">
        <v>193</v>
      </c>
      <c r="B3" s="2"/>
      <c r="C3" s="2"/>
      <c r="D3" s="2"/>
      <c r="E3" s="2"/>
      <c r="F3" s="2"/>
      <c r="G3" s="2"/>
      <c r="H3" s="2" t="s">
        <v>3</v>
      </c>
      <c r="J3" s="40" t="s">
        <v>187</v>
      </c>
      <c r="M3" s="2"/>
    </row>
    <row r="4" spans="1:15" x14ac:dyDescent="0.2">
      <c r="H4" s="10" t="s">
        <v>79</v>
      </c>
      <c r="J4" s="40" t="s">
        <v>76</v>
      </c>
    </row>
    <row r="5" spans="1:15" x14ac:dyDescent="0.2">
      <c r="H5" s="10" t="s">
        <v>107</v>
      </c>
      <c r="J5" s="129" t="s">
        <v>108</v>
      </c>
    </row>
    <row r="6" spans="1:15" ht="15.75" x14ac:dyDescent="0.25">
      <c r="A6" s="170" t="s">
        <v>4</v>
      </c>
      <c r="B6" s="2"/>
      <c r="C6" s="2"/>
      <c r="D6" s="2"/>
      <c r="E6" s="2"/>
      <c r="F6" s="2"/>
      <c r="G6" s="2"/>
      <c r="H6" s="2"/>
      <c r="I6" s="2"/>
      <c r="J6" s="2"/>
      <c r="K6" s="2"/>
      <c r="L6" s="171"/>
      <c r="M6" s="2"/>
      <c r="N6" s="2"/>
      <c r="O6" s="2"/>
    </row>
    <row r="8" spans="1:15" ht="15.75" x14ac:dyDescent="0.25">
      <c r="A8" s="9" t="s">
        <v>188</v>
      </c>
    </row>
    <row r="9" spans="1:15" ht="15.75" x14ac:dyDescent="0.25">
      <c r="A9" s="9"/>
    </row>
    <row r="10" spans="1:15" ht="15.75" x14ac:dyDescent="0.25">
      <c r="A10" s="137" t="s">
        <v>6</v>
      </c>
    </row>
    <row r="11" spans="1:15" ht="15.75" x14ac:dyDescent="0.25">
      <c r="A11" s="9"/>
      <c r="K11" s="138"/>
    </row>
    <row r="13" spans="1:15" ht="15.75" x14ac:dyDescent="0.25">
      <c r="A13" s="172" t="s">
        <v>207</v>
      </c>
    </row>
    <row r="15" spans="1:15" ht="15.75" x14ac:dyDescent="0.25">
      <c r="A15" s="9" t="s">
        <v>208</v>
      </c>
    </row>
    <row r="17" spans="1:10" x14ac:dyDescent="0.2">
      <c r="B17" s="31" t="s">
        <v>62</v>
      </c>
      <c r="C17" s="31"/>
      <c r="D17" s="31" t="s">
        <v>63</v>
      </c>
      <c r="E17" s="31"/>
      <c r="F17" s="31"/>
      <c r="G17" s="31"/>
      <c r="H17" s="31" t="s">
        <v>64</v>
      </c>
    </row>
    <row r="18" spans="1:10" x14ac:dyDescent="0.2">
      <c r="A18" s="10" t="s">
        <v>192</v>
      </c>
      <c r="B18" s="36">
        <v>5</v>
      </c>
      <c r="C18" s="2"/>
      <c r="D18" s="2">
        <v>0</v>
      </c>
      <c r="E18" s="2"/>
      <c r="F18" s="2"/>
      <c r="G18" s="2"/>
      <c r="H18" s="2">
        <f>+B18*D18</f>
        <v>0</v>
      </c>
    </row>
    <row r="19" spans="1:10" x14ac:dyDescent="0.2">
      <c r="A19" s="10" t="s">
        <v>58</v>
      </c>
      <c r="B19" s="36">
        <v>0</v>
      </c>
      <c r="C19" s="2"/>
      <c r="D19" s="2">
        <v>1</v>
      </c>
      <c r="E19" s="2"/>
      <c r="F19" s="2"/>
      <c r="G19" s="2"/>
      <c r="H19" s="2">
        <f>+B19*D19</f>
        <v>0</v>
      </c>
    </row>
    <row r="20" spans="1:10" x14ac:dyDescent="0.2">
      <c r="A20" s="10" t="s">
        <v>59</v>
      </c>
      <c r="B20" s="36">
        <v>0</v>
      </c>
      <c r="C20" s="2"/>
      <c r="D20" s="2">
        <v>0.75</v>
      </c>
      <c r="E20" s="2"/>
      <c r="F20" s="2"/>
      <c r="G20" s="2"/>
      <c r="H20" s="2">
        <f>+B20*D20</f>
        <v>0</v>
      </c>
    </row>
    <row r="21" spans="1:10" x14ac:dyDescent="0.2">
      <c r="A21" s="10" t="s">
        <v>60</v>
      </c>
      <c r="B21" s="36">
        <v>0</v>
      </c>
      <c r="C21" s="2"/>
      <c r="D21" s="2">
        <v>0.5</v>
      </c>
      <c r="E21" s="2"/>
      <c r="F21" s="2"/>
      <c r="G21" s="2"/>
      <c r="H21" s="2">
        <f>+B21*D21</f>
        <v>0</v>
      </c>
    </row>
    <row r="22" spans="1:10" x14ac:dyDescent="0.2">
      <c r="A22" s="10" t="s">
        <v>61</v>
      </c>
      <c r="B22" s="36">
        <v>1</v>
      </c>
      <c r="D22" s="10">
        <v>0.3</v>
      </c>
      <c r="H22" s="2">
        <f>+B22*D22</f>
        <v>0.3</v>
      </c>
    </row>
    <row r="24" spans="1:10" ht="15.75" x14ac:dyDescent="0.25">
      <c r="F24" s="276" t="str">
        <f>IF(SUM($H18:$H22)=0,"Soloselbständiger ! Einkünfte prüfen !!!","antragsberechtigt")</f>
        <v>antragsberechtigt</v>
      </c>
      <c r="G24" s="276"/>
      <c r="H24" s="276"/>
      <c r="I24" s="276"/>
      <c r="J24" s="10" t="s">
        <v>244</v>
      </c>
    </row>
    <row r="25" spans="1:10" ht="15.75" x14ac:dyDescent="0.25">
      <c r="A25" s="275" t="str">
        <f>IF(SUM($H18:$H22)=0,"Soloselbständiger ! Nur im Haupterwerb berechtigt !!!","")</f>
        <v/>
      </c>
      <c r="B25" s="275"/>
    </row>
    <row r="26" spans="1:10" ht="15.75" x14ac:dyDescent="0.25">
      <c r="A26" s="17"/>
      <c r="B26" s="17"/>
    </row>
    <row r="27" spans="1:10" ht="15.75" x14ac:dyDescent="0.25">
      <c r="A27" s="24" t="str">
        <f>IF(SUM($H18:$H22)=0,"Bitte Einkünfte prüfen:","")</f>
        <v/>
      </c>
      <c r="B27" s="24"/>
    </row>
    <row r="28" spans="1:10" ht="15.75" x14ac:dyDescent="0.25">
      <c r="A28" s="10" t="str">
        <f>IF(SUM($H18:$H22)=0,"Einkünfte aus soloselbständiger Tätigkeit","Einkünfte aus unternehmerischer Tätigkeit")</f>
        <v>Einkünfte aus unternehmerischer Tätigkeit</v>
      </c>
      <c r="B28" s="198">
        <v>50000</v>
      </c>
      <c r="D28" s="29">
        <f>B28/(B29+B28)</f>
        <v>0.52631578947368418</v>
      </c>
      <c r="F28" s="276" t="str">
        <f>IF(AND(D28&lt;50%,SUM(H18:H22)=0), "kein Haupterwerb, keine Antragsberechtigung !","antragsberechtigt")</f>
        <v>antragsberechtigt</v>
      </c>
      <c r="G28" s="276"/>
      <c r="H28" s="276"/>
      <c r="I28" s="276"/>
    </row>
    <row r="29" spans="1:10" x14ac:dyDescent="0.2">
      <c r="A29" s="10" t="s">
        <v>209</v>
      </c>
      <c r="B29" s="198">
        <v>45000</v>
      </c>
    </row>
    <row r="32" spans="1:10" ht="15.75" x14ac:dyDescent="0.25">
      <c r="A32" s="24" t="str">
        <f>IF(AND(SUM(H18:H22)&lt;1,D28&gt;50%),"Wahlrecht Neustarthilfe beachten !","")</f>
        <v>Wahlrecht Neustarthilfe beachten !</v>
      </c>
    </row>
    <row r="35" spans="1:14" ht="15.75" x14ac:dyDescent="0.25">
      <c r="A35" s="9" t="s">
        <v>382</v>
      </c>
      <c r="D35" s="232" t="s">
        <v>72</v>
      </c>
      <c r="N35" s="174" t="s">
        <v>72</v>
      </c>
    </row>
    <row r="37" spans="1:14" ht="15.75" x14ac:dyDescent="0.25">
      <c r="A37" s="9" t="s">
        <v>383</v>
      </c>
      <c r="D37" s="232" t="s">
        <v>72</v>
      </c>
    </row>
  </sheetData>
  <sheetProtection sheet="1" formatCells="0" formatColumns="0" formatRows="0" insertColumns="0" insertHyperlinks="0" deleteColumns="0" deleteRows="0" selectLockedCells="1" sort="0" autoFilter="0" pivotTables="0"/>
  <mergeCells count="3">
    <mergeCell ref="A25:B25"/>
    <mergeCell ref="F28:I28"/>
    <mergeCell ref="F24:I24"/>
  </mergeCells>
  <conditionalFormatting sqref="A32">
    <cfRule type="containsText" dxfId="18" priority="6" operator="containsText" text="Wahlrecht Neustarthilfe beachten !">
      <formula>NOT(ISERROR(SEARCH("Wahlrecht Neustarthilfe beachten !",A32)))</formula>
    </cfRule>
    <cfRule type="cellIs" dxfId="17" priority="7" operator="equal">
      <formula>"""Wahlrecht Neustarthilfe beachten !"""</formula>
    </cfRule>
  </conditionalFormatting>
  <conditionalFormatting sqref="F28:I28">
    <cfRule type="containsText" dxfId="16" priority="4" operator="containsText" text="antragsberechtigt">
      <formula>NOT(ISERROR(SEARCH("antragsberechtigt",F28)))</formula>
    </cfRule>
    <cfRule type="containsText" dxfId="15" priority="5" operator="containsText" text="kein Haupterwerb, keine Antragsberechtigung !">
      <formula>NOT(ISERROR(SEARCH("kein Haupterwerb, keine Antragsberechtigung !",F28)))</formula>
    </cfRule>
  </conditionalFormatting>
  <conditionalFormatting sqref="F24:I24">
    <cfRule type="containsText" dxfId="14" priority="1" operator="containsText" text="Soloselbständiger ! Einkünfte prüfen !!!">
      <formula>NOT(ISERROR(SEARCH("Soloselbständiger ! Einkünfte prüfen !!!",F24)))</formula>
    </cfRule>
    <cfRule type="containsText" dxfId="13" priority="2" operator="containsText" text="antragsberechtigt">
      <formula>NOT(ISERROR(SEARCH("antragsberechtigt",F24)))</formula>
    </cfRule>
    <cfRule type="containsText" dxfId="12" priority="3" operator="containsText" text="kein Haupterwerb, keine Antragsberechtigung !">
      <formula>NOT(ISERROR(SEARCH("kein Haupterwerb, keine Antragsberechtigung !",F24)))</formula>
    </cfRule>
  </conditionalFormatting>
  <dataValidations count="1">
    <dataValidation type="list" allowBlank="1" showInputMessage="1" showErrorMessage="1" sqref="D37 D35" xr:uid="{2C4DEB00-C0A6-415D-8510-17FCE48840BD}">
      <formula1>$N$35:$N$35</formula1>
    </dataValidation>
  </dataValidations>
  <hyperlinks>
    <hyperlink ref="A10" r:id="rId1" xr:uid="{52BFFFAB-C680-4E65-862D-0B01CC7D0375}"/>
  </hyperlinks>
  <pageMargins left="0.7" right="0.7" top="0.78740157499999996" bottom="0.78740157499999996" header="0.3" footer="0.3"/>
  <pageSetup paperSize="9" scale="63" fitToHeight="0" orientation="landscape"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19"/>
  <sheetViews>
    <sheetView workbookViewId="0">
      <selection activeCell="B114" sqref="B114"/>
    </sheetView>
  </sheetViews>
  <sheetFormatPr baseColWidth="10" defaultColWidth="11.42578125" defaultRowHeight="15" outlineLevelRow="1" x14ac:dyDescent="0.2"/>
  <cols>
    <col min="1" max="1" width="48.42578125" style="10" customWidth="1"/>
    <col min="2" max="2" width="20.7109375" style="10" customWidth="1"/>
    <col min="3" max="3" width="6.7109375" style="10" customWidth="1"/>
    <col min="4" max="4" width="20.7109375" style="10" customWidth="1"/>
    <col min="5" max="5" width="6.7109375" style="10" customWidth="1"/>
    <col min="6" max="6" width="20.7109375" style="10" customWidth="1"/>
    <col min="7" max="7" width="6.7109375" style="10" customWidth="1"/>
    <col min="8" max="8" width="20.7109375" style="10" customWidth="1"/>
    <col min="9" max="9" width="8.140625" style="10" customWidth="1"/>
    <col min="10" max="10" width="15.5703125" style="10" bestFit="1" customWidth="1"/>
    <col min="11" max="11" width="29" style="10" customWidth="1"/>
    <col min="12" max="16384" width="11.42578125" style="10"/>
  </cols>
  <sheetData>
    <row r="1" spans="1:11" x14ac:dyDescent="0.2">
      <c r="A1" s="1" t="s">
        <v>0</v>
      </c>
      <c r="B1" s="2"/>
      <c r="C1" s="2"/>
      <c r="D1" s="2"/>
      <c r="E1" s="2"/>
      <c r="F1" s="2"/>
      <c r="G1" s="2"/>
      <c r="H1" s="2"/>
      <c r="I1" s="2"/>
      <c r="J1" s="3" t="s">
        <v>1</v>
      </c>
      <c r="K1" s="35" t="e">
        <f>+Anspruchsvoraussetzung!#REF!</f>
        <v>#REF!</v>
      </c>
    </row>
    <row r="2" spans="1:11" x14ac:dyDescent="0.2">
      <c r="A2" s="4" t="s">
        <v>101</v>
      </c>
      <c r="B2" s="2"/>
      <c r="C2" s="2"/>
      <c r="D2" s="2"/>
      <c r="E2" s="2"/>
      <c r="F2" s="2"/>
      <c r="G2" s="2"/>
      <c r="H2" s="2"/>
      <c r="I2" s="2"/>
      <c r="J2" s="3" t="s">
        <v>2</v>
      </c>
      <c r="K2" s="35" t="e">
        <f>+Anspruchsvoraussetzung!#REF!</f>
        <v>#REF!</v>
      </c>
    </row>
    <row r="3" spans="1:11" x14ac:dyDescent="0.2">
      <c r="A3" s="4"/>
      <c r="B3" s="2"/>
      <c r="C3" s="2"/>
      <c r="D3" s="2"/>
      <c r="E3" s="2"/>
      <c r="F3" s="2"/>
      <c r="G3" s="2"/>
      <c r="H3" s="3"/>
      <c r="I3" s="2"/>
      <c r="J3" s="3" t="s">
        <v>3</v>
      </c>
      <c r="K3" s="35" t="e">
        <f>+Anspruchsvoraussetzung!#REF!</f>
        <v>#REF!</v>
      </c>
    </row>
    <row r="7" spans="1:11" x14ac:dyDescent="0.2">
      <c r="A7" s="5"/>
      <c r="B7" s="6"/>
      <c r="C7" s="6"/>
      <c r="D7" s="6"/>
      <c r="E7" s="6"/>
      <c r="F7" s="6"/>
      <c r="G7" s="6"/>
      <c r="H7" s="6"/>
      <c r="I7" s="6"/>
      <c r="J7" s="6"/>
      <c r="K7" s="6"/>
    </row>
    <row r="8" spans="1:11" x14ac:dyDescent="0.2">
      <c r="A8" s="4"/>
      <c r="B8" s="3"/>
      <c r="C8" s="3"/>
      <c r="D8" s="3"/>
      <c r="E8" s="3"/>
      <c r="F8" s="3"/>
      <c r="G8" s="3"/>
      <c r="H8" s="3"/>
      <c r="I8" s="3"/>
      <c r="J8" s="3"/>
      <c r="K8" s="3"/>
    </row>
    <row r="9" spans="1:11" ht="15.75" x14ac:dyDescent="0.25">
      <c r="A9" s="7" t="s">
        <v>15</v>
      </c>
      <c r="B9" s="3"/>
      <c r="C9" s="3"/>
      <c r="D9" s="3"/>
      <c r="E9" s="3"/>
      <c r="F9" s="3"/>
      <c r="G9" s="3"/>
      <c r="H9" s="8"/>
      <c r="I9" s="3"/>
      <c r="J9" s="3"/>
      <c r="K9" s="3"/>
    </row>
    <row r="10" spans="1:11" ht="15.75" x14ac:dyDescent="0.25">
      <c r="A10" s="7"/>
      <c r="B10" s="3"/>
      <c r="C10" s="3"/>
      <c r="D10" s="3"/>
      <c r="E10" s="3"/>
      <c r="F10" s="3"/>
      <c r="G10" s="3"/>
      <c r="H10" s="8"/>
      <c r="I10" s="3"/>
      <c r="J10" s="3"/>
      <c r="K10" s="3"/>
    </row>
    <row r="11" spans="1:11" ht="15.75" x14ac:dyDescent="0.25">
      <c r="A11" s="21" t="s">
        <v>85</v>
      </c>
      <c r="C11" s="21"/>
      <c r="D11" s="20"/>
      <c r="E11" s="20"/>
      <c r="F11" s="20"/>
      <c r="G11" s="20"/>
      <c r="H11" s="20"/>
      <c r="I11" s="20"/>
      <c r="J11" s="20"/>
    </row>
    <row r="12" spans="1:11" ht="15.75" x14ac:dyDescent="0.25">
      <c r="A12" s="17"/>
      <c r="B12" s="21"/>
      <c r="C12" s="21"/>
      <c r="D12" s="20"/>
      <c r="E12" s="20"/>
      <c r="F12" s="20"/>
      <c r="G12" s="20"/>
      <c r="H12" s="20"/>
      <c r="I12" s="20"/>
      <c r="J12" s="20"/>
    </row>
    <row r="13" spans="1:11" x14ac:dyDescent="0.2">
      <c r="A13" s="23" t="s">
        <v>8</v>
      </c>
      <c r="B13" s="22" t="s">
        <v>9</v>
      </c>
      <c r="C13" s="22"/>
      <c r="D13" s="15" t="s">
        <v>86</v>
      </c>
      <c r="E13" s="15"/>
      <c r="F13" s="15"/>
      <c r="G13" s="15"/>
      <c r="H13" s="15"/>
      <c r="I13" s="15"/>
      <c r="J13" s="20"/>
    </row>
    <row r="14" spans="1:11" x14ac:dyDescent="0.2">
      <c r="A14" s="23" t="s">
        <v>8</v>
      </c>
      <c r="B14" s="22" t="s">
        <v>10</v>
      </c>
      <c r="C14" s="22"/>
      <c r="D14" s="15" t="s">
        <v>87</v>
      </c>
      <c r="E14" s="15"/>
      <c r="F14" s="15"/>
      <c r="G14" s="15"/>
      <c r="H14" s="15"/>
      <c r="I14" s="15"/>
      <c r="J14" s="11"/>
    </row>
    <row r="15" spans="1:11" x14ac:dyDescent="0.2">
      <c r="A15" s="23" t="s">
        <v>8</v>
      </c>
      <c r="B15" s="22" t="s">
        <v>88</v>
      </c>
      <c r="C15" s="22"/>
      <c r="D15" s="15" t="s">
        <v>11</v>
      </c>
      <c r="E15" s="15"/>
      <c r="F15" s="15"/>
      <c r="G15" s="15"/>
      <c r="H15" s="15"/>
      <c r="I15" s="15"/>
      <c r="J15" s="20"/>
    </row>
    <row r="16" spans="1:11" x14ac:dyDescent="0.2">
      <c r="A16" s="23"/>
      <c r="B16" s="22"/>
      <c r="C16" s="22"/>
      <c r="D16" s="15"/>
      <c r="E16" s="15"/>
      <c r="F16" s="15"/>
      <c r="G16" s="15"/>
      <c r="H16" s="15"/>
      <c r="I16" s="15"/>
      <c r="J16" s="20"/>
    </row>
    <row r="17" spans="1:10" ht="15.75" x14ac:dyDescent="0.25">
      <c r="A17" s="24" t="s">
        <v>12</v>
      </c>
      <c r="B17" s="12">
        <v>43709</v>
      </c>
      <c r="C17" s="12"/>
      <c r="D17" s="12">
        <v>43739</v>
      </c>
      <c r="E17" s="12"/>
      <c r="F17" s="12">
        <v>43770</v>
      </c>
      <c r="G17" s="11"/>
      <c r="H17" s="12">
        <v>43800</v>
      </c>
      <c r="I17" s="11"/>
      <c r="J17" s="13" t="s">
        <v>5</v>
      </c>
    </row>
    <row r="18" spans="1:10" ht="15.75" x14ac:dyDescent="0.25">
      <c r="A18" s="24"/>
      <c r="B18" s="12"/>
      <c r="C18" s="12"/>
      <c r="D18" s="12"/>
      <c r="E18" s="12"/>
      <c r="F18" s="12"/>
      <c r="G18" s="11"/>
      <c r="H18" s="12"/>
      <c r="I18" s="11"/>
      <c r="J18" s="13"/>
    </row>
    <row r="19" spans="1:10" ht="15.75" x14ac:dyDescent="0.25">
      <c r="A19" s="11" t="s">
        <v>80</v>
      </c>
      <c r="B19" s="39">
        <v>50000</v>
      </c>
      <c r="C19" s="11"/>
      <c r="D19" s="39">
        <v>50000</v>
      </c>
      <c r="E19" s="11"/>
      <c r="F19" s="39">
        <v>50000</v>
      </c>
      <c r="G19" s="11"/>
      <c r="H19" s="39">
        <v>50000</v>
      </c>
      <c r="I19" s="11"/>
      <c r="J19" s="13"/>
    </row>
    <row r="20" spans="1:10" ht="15.75" x14ac:dyDescent="0.25">
      <c r="A20" s="11" t="s">
        <v>81</v>
      </c>
      <c r="B20" s="39">
        <v>10000</v>
      </c>
      <c r="C20" s="11"/>
      <c r="D20" s="39">
        <v>10000</v>
      </c>
      <c r="E20" s="11"/>
      <c r="F20" s="39">
        <v>10000</v>
      </c>
      <c r="G20" s="11"/>
      <c r="H20" s="39">
        <v>10000</v>
      </c>
      <c r="I20" s="11"/>
      <c r="J20" s="13"/>
    </row>
    <row r="21" spans="1:10" ht="15.75" x14ac:dyDescent="0.25">
      <c r="A21" s="11" t="s">
        <v>82</v>
      </c>
      <c r="B21" s="39">
        <v>500</v>
      </c>
      <c r="C21" s="11"/>
      <c r="D21" s="39">
        <v>500</v>
      </c>
      <c r="E21" s="11"/>
      <c r="F21" s="39">
        <v>500</v>
      </c>
      <c r="G21" s="11"/>
      <c r="H21" s="39">
        <v>500</v>
      </c>
      <c r="I21" s="11"/>
      <c r="J21" s="13"/>
    </row>
    <row r="22" spans="1:10" ht="15.75" x14ac:dyDescent="0.25">
      <c r="A22" s="47" t="s">
        <v>83</v>
      </c>
      <c r="B22" s="48">
        <v>-1000</v>
      </c>
      <c r="C22" s="47"/>
      <c r="D22" s="48">
        <v>-1000</v>
      </c>
      <c r="E22" s="47"/>
      <c r="F22" s="48">
        <v>-1000</v>
      </c>
      <c r="G22" s="47"/>
      <c r="H22" s="48">
        <v>-1000</v>
      </c>
      <c r="I22" s="11"/>
      <c r="J22" s="13"/>
    </row>
    <row r="23" spans="1:10" x14ac:dyDescent="0.2">
      <c r="A23" s="14" t="s">
        <v>7</v>
      </c>
      <c r="B23" s="45">
        <f>SUM(B19:B22)</f>
        <v>59500</v>
      </c>
      <c r="C23" s="46"/>
      <c r="D23" s="45">
        <f>SUM(D19:D22)</f>
        <v>59500</v>
      </c>
      <c r="E23" s="45"/>
      <c r="F23" s="45">
        <f>SUM(F19:F22)</f>
        <v>59500</v>
      </c>
      <c r="G23" s="45"/>
      <c r="H23" s="45">
        <f>SUM(H19:H22)</f>
        <v>59500</v>
      </c>
      <c r="I23" s="11"/>
      <c r="J23" s="25">
        <f>SUM(H23,F23,D23,B23)</f>
        <v>238000</v>
      </c>
    </row>
    <row r="24" spans="1:10" x14ac:dyDescent="0.2">
      <c r="A24" s="11"/>
      <c r="B24" s="11"/>
      <c r="C24" s="11"/>
      <c r="D24" s="11"/>
      <c r="E24" s="11"/>
      <c r="F24" s="11"/>
      <c r="G24" s="11"/>
      <c r="H24" s="20"/>
      <c r="I24" s="11"/>
      <c r="J24" s="16"/>
    </row>
    <row r="25" spans="1:10" ht="15.75" x14ac:dyDescent="0.25">
      <c r="A25" s="11"/>
      <c r="B25" s="12">
        <v>44075</v>
      </c>
      <c r="C25" s="12"/>
      <c r="D25" s="12">
        <v>44105</v>
      </c>
      <c r="E25" s="12"/>
      <c r="F25" s="12">
        <v>44136</v>
      </c>
      <c r="G25" s="11"/>
      <c r="H25" s="12">
        <v>44166</v>
      </c>
      <c r="I25" s="11"/>
      <c r="J25" s="18"/>
    </row>
    <row r="26" spans="1:10" ht="15.75" x14ac:dyDescent="0.25">
      <c r="A26" s="11"/>
      <c r="B26" s="12"/>
      <c r="C26" s="12"/>
      <c r="D26" s="12"/>
      <c r="E26" s="11"/>
      <c r="F26" s="12"/>
      <c r="G26" s="11"/>
      <c r="H26" s="12"/>
      <c r="I26" s="11"/>
      <c r="J26" s="18"/>
    </row>
    <row r="27" spans="1:10" ht="15.75" x14ac:dyDescent="0.25">
      <c r="A27" s="11" t="s">
        <v>80</v>
      </c>
      <c r="B27" s="39">
        <v>15000</v>
      </c>
      <c r="C27" s="11"/>
      <c r="D27" s="39">
        <v>20000</v>
      </c>
      <c r="E27" s="11"/>
      <c r="F27" s="39">
        <v>40000</v>
      </c>
      <c r="G27" s="11"/>
      <c r="H27" s="39">
        <v>50000</v>
      </c>
      <c r="I27" s="11"/>
      <c r="J27" s="18"/>
    </row>
    <row r="28" spans="1:10" ht="15.75" x14ac:dyDescent="0.25">
      <c r="A28" s="11" t="s">
        <v>81</v>
      </c>
      <c r="B28" s="39">
        <v>0</v>
      </c>
      <c r="C28" s="11"/>
      <c r="D28" s="39">
        <v>0</v>
      </c>
      <c r="E28" s="11"/>
      <c r="F28" s="39">
        <v>0</v>
      </c>
      <c r="G28" s="11"/>
      <c r="H28" s="39">
        <v>0</v>
      </c>
      <c r="I28" s="11"/>
      <c r="J28" s="18"/>
    </row>
    <row r="29" spans="1:10" ht="15.75" x14ac:dyDescent="0.25">
      <c r="A29" s="11" t="s">
        <v>82</v>
      </c>
      <c r="B29" s="39">
        <v>500</v>
      </c>
      <c r="C29" s="11"/>
      <c r="D29" s="39">
        <v>500</v>
      </c>
      <c r="E29" s="11"/>
      <c r="F29" s="39">
        <v>500</v>
      </c>
      <c r="G29" s="11"/>
      <c r="H29" s="39">
        <v>500</v>
      </c>
      <c r="I29" s="11"/>
      <c r="J29" s="18"/>
    </row>
    <row r="30" spans="1:10" ht="15.75" x14ac:dyDescent="0.25">
      <c r="A30" s="47" t="s">
        <v>83</v>
      </c>
      <c r="B30" s="48">
        <v>0</v>
      </c>
      <c r="C30" s="47"/>
      <c r="D30" s="48">
        <v>0</v>
      </c>
      <c r="E30" s="47"/>
      <c r="F30" s="48">
        <v>0</v>
      </c>
      <c r="G30" s="47"/>
      <c r="H30" s="48">
        <v>0</v>
      </c>
      <c r="I30" s="11"/>
      <c r="J30" s="18"/>
    </row>
    <row r="31" spans="1:10" x14ac:dyDescent="0.2">
      <c r="A31" s="14" t="s">
        <v>7</v>
      </c>
      <c r="B31" s="45">
        <f>SUM(B27:B30)</f>
        <v>15500</v>
      </c>
      <c r="C31" s="46"/>
      <c r="D31" s="45">
        <f>SUM(D27:D30)</f>
        <v>20500</v>
      </c>
      <c r="E31" s="45"/>
      <c r="F31" s="45">
        <f>SUM(F27:F30)</f>
        <v>40500</v>
      </c>
      <c r="G31" s="45"/>
      <c r="H31" s="45">
        <f>SUM(H27:H30)</f>
        <v>50500</v>
      </c>
      <c r="I31" s="11"/>
      <c r="J31" s="25">
        <f>SUM(H31,F31,D31,B31)</f>
        <v>127000</v>
      </c>
    </row>
    <row r="32" spans="1:10" ht="15.75" thickBot="1" x14ac:dyDescent="0.25">
      <c r="A32" s="11"/>
      <c r="B32" s="20"/>
      <c r="C32" s="11"/>
      <c r="D32" s="20"/>
      <c r="E32" s="11"/>
      <c r="F32" s="20"/>
      <c r="G32" s="20"/>
      <c r="H32" s="20"/>
      <c r="I32" s="20"/>
    </row>
    <row r="33" spans="1:9" ht="16.5" thickBot="1" x14ac:dyDescent="0.3">
      <c r="A33" s="24" t="s">
        <v>13</v>
      </c>
      <c r="B33" s="19">
        <f>-SUM(B31-B23)/B23</f>
        <v>0.73949579831932777</v>
      </c>
      <c r="C33" s="11"/>
      <c r="D33" s="19">
        <f>-SUM(D31-D23)/D23</f>
        <v>0.65546218487394958</v>
      </c>
      <c r="E33" s="11"/>
      <c r="F33" s="19">
        <f>-SUM(F31-F23)/F23</f>
        <v>0.31932773109243695</v>
      </c>
      <c r="G33" s="11"/>
      <c r="H33" s="19">
        <f>-SUM(H31-H23)/H23</f>
        <v>0.15126050420168066</v>
      </c>
      <c r="I33" s="11"/>
    </row>
    <row r="34" spans="1:9" ht="15.75" thickBot="1" x14ac:dyDescent="0.25">
      <c r="A34" s="11"/>
      <c r="B34" s="11"/>
      <c r="C34" s="11"/>
      <c r="D34" s="11"/>
      <c r="E34" s="11"/>
      <c r="F34" s="11"/>
      <c r="G34" s="11"/>
      <c r="H34" s="11"/>
      <c r="I34" s="11"/>
    </row>
    <row r="35" spans="1:9" ht="16.5" thickBot="1" x14ac:dyDescent="0.25">
      <c r="A35" s="11" t="s">
        <v>14</v>
      </c>
      <c r="B35" s="26">
        <f>IF(B33&lt;30%,0,IF(B33&lt;50%,40%,IF(B33&lt;70%,60%,90%)))</f>
        <v>0.9</v>
      </c>
      <c r="C35" s="11"/>
      <c r="D35" s="26">
        <f>IF(D33&lt;30%,0,IF(D33&lt;50%,40%,IF(D33&lt;70%,60%,90%)))</f>
        <v>0.6</v>
      </c>
      <c r="E35" s="11"/>
      <c r="F35" s="26">
        <f>IF(F33&lt;30%,0,IF(F33&lt;50%,40%,IF(F33&lt;70%,60%,90%)))</f>
        <v>0.4</v>
      </c>
      <c r="G35" s="11"/>
      <c r="H35" s="26">
        <f>IF(H33&lt;30%,0,IF(H33&lt;50%,40%,IF(H33&lt;70%,60%,90%)))</f>
        <v>0</v>
      </c>
      <c r="I35" s="11"/>
    </row>
    <row r="36" spans="1:9" x14ac:dyDescent="0.2">
      <c r="A36" s="11"/>
      <c r="B36" s="11"/>
      <c r="C36" s="11"/>
      <c r="D36" s="11"/>
      <c r="E36" s="11"/>
      <c r="F36" s="11"/>
      <c r="G36" s="11"/>
      <c r="H36" s="11"/>
      <c r="I36" s="11"/>
    </row>
    <row r="38" spans="1:9" ht="15.75" x14ac:dyDescent="0.25">
      <c r="A38" s="21" t="s">
        <v>16</v>
      </c>
    </row>
    <row r="39" spans="1:9" ht="15.75" x14ac:dyDescent="0.25">
      <c r="A39" s="21"/>
    </row>
    <row r="40" spans="1:9" x14ac:dyDescent="0.2">
      <c r="A40" s="49" t="s">
        <v>84</v>
      </c>
    </row>
    <row r="41" spans="1:9" x14ac:dyDescent="0.2">
      <c r="A41" s="49" t="s">
        <v>99</v>
      </c>
    </row>
    <row r="42" spans="1:9" x14ac:dyDescent="0.2">
      <c r="A42" s="49" t="s">
        <v>100</v>
      </c>
    </row>
    <row r="44" spans="1:9" ht="15.75" x14ac:dyDescent="0.25">
      <c r="B44" s="12">
        <v>44075</v>
      </c>
      <c r="C44" s="12"/>
      <c r="D44" s="12">
        <v>44105</v>
      </c>
      <c r="E44" s="12"/>
      <c r="F44" s="12">
        <v>44136</v>
      </c>
      <c r="G44" s="11"/>
      <c r="H44" s="12">
        <v>44166</v>
      </c>
    </row>
    <row r="46" spans="1:9" outlineLevel="1" x14ac:dyDescent="0.2">
      <c r="A46" s="10" t="s">
        <v>90</v>
      </c>
      <c r="B46" s="36">
        <v>1000</v>
      </c>
      <c r="C46" s="2"/>
      <c r="D46" s="36">
        <v>1000</v>
      </c>
      <c r="E46" s="50"/>
      <c r="F46" s="36">
        <v>1000</v>
      </c>
      <c r="G46" s="2"/>
      <c r="H46" s="36">
        <v>1000</v>
      </c>
    </row>
    <row r="47" spans="1:9" outlineLevel="1" x14ac:dyDescent="0.2">
      <c r="A47" s="27" t="s">
        <v>91</v>
      </c>
      <c r="B47" s="37">
        <v>500</v>
      </c>
      <c r="C47" s="6"/>
      <c r="D47" s="37">
        <v>500</v>
      </c>
      <c r="E47" s="51"/>
      <c r="F47" s="37">
        <v>500</v>
      </c>
      <c r="G47" s="6"/>
      <c r="H47" s="37">
        <v>500</v>
      </c>
    </row>
    <row r="48" spans="1:9" x14ac:dyDescent="0.2">
      <c r="A48" s="10" t="s">
        <v>17</v>
      </c>
      <c r="B48" s="2">
        <f>SUM(B46:B47)</f>
        <v>1500</v>
      </c>
      <c r="C48" s="2"/>
      <c r="D48" s="2">
        <f>SUM(D46:D47)</f>
        <v>1500</v>
      </c>
      <c r="E48" s="52"/>
      <c r="F48" s="2">
        <f>SUM(F46:F47)</f>
        <v>1500</v>
      </c>
      <c r="G48" s="2"/>
      <c r="H48" s="2">
        <f>SUM(H46:H47)</f>
        <v>1500</v>
      </c>
    </row>
    <row r="49" spans="1:8" outlineLevel="1" x14ac:dyDescent="0.2">
      <c r="A49" s="10" t="s">
        <v>92</v>
      </c>
      <c r="B49" s="36">
        <v>150</v>
      </c>
      <c r="C49" s="2"/>
      <c r="D49" s="36">
        <v>150</v>
      </c>
      <c r="E49" s="50"/>
      <c r="F49" s="36">
        <v>150</v>
      </c>
      <c r="G49" s="2"/>
      <c r="H49" s="36">
        <v>150</v>
      </c>
    </row>
    <row r="50" spans="1:8" outlineLevel="1" x14ac:dyDescent="0.2">
      <c r="A50" s="27" t="s">
        <v>93</v>
      </c>
      <c r="B50" s="37">
        <v>500</v>
      </c>
      <c r="C50" s="6"/>
      <c r="D50" s="37">
        <v>500</v>
      </c>
      <c r="E50" s="51"/>
      <c r="F50" s="37">
        <v>500</v>
      </c>
      <c r="G50" s="6"/>
      <c r="H50" s="37">
        <v>500</v>
      </c>
    </row>
    <row r="51" spans="1:8" x14ac:dyDescent="0.2">
      <c r="A51" s="10" t="s">
        <v>18</v>
      </c>
      <c r="B51" s="2">
        <f>SUM(B49:B50)</f>
        <v>650</v>
      </c>
      <c r="C51" s="2"/>
      <c r="D51" s="2">
        <f>SUM(D49:D50)</f>
        <v>650</v>
      </c>
      <c r="E51" s="52"/>
      <c r="F51" s="2">
        <f>SUM(F49:F50)</f>
        <v>650</v>
      </c>
      <c r="G51" s="2"/>
      <c r="H51" s="2">
        <f>SUM(H49:H50)</f>
        <v>650</v>
      </c>
    </row>
    <row r="52" spans="1:8" outlineLevel="1" x14ac:dyDescent="0.2">
      <c r="A52" s="10" t="s">
        <v>19</v>
      </c>
      <c r="B52" s="36">
        <v>500</v>
      </c>
      <c r="C52" s="2"/>
      <c r="D52" s="36">
        <v>500</v>
      </c>
      <c r="E52" s="50"/>
      <c r="F52" s="36">
        <v>500</v>
      </c>
      <c r="G52" s="2"/>
      <c r="H52" s="36">
        <v>500</v>
      </c>
    </row>
    <row r="53" spans="1:8" outlineLevel="1" x14ac:dyDescent="0.2">
      <c r="A53" s="27" t="s">
        <v>20</v>
      </c>
      <c r="B53" s="37">
        <v>0</v>
      </c>
      <c r="C53" s="6"/>
      <c r="D53" s="37">
        <v>0</v>
      </c>
      <c r="E53" s="51"/>
      <c r="F53" s="37">
        <v>0</v>
      </c>
      <c r="G53" s="6"/>
      <c r="H53" s="37">
        <v>0</v>
      </c>
    </row>
    <row r="54" spans="1:8" x14ac:dyDescent="0.2">
      <c r="A54" s="10" t="s">
        <v>21</v>
      </c>
      <c r="B54" s="2">
        <f>SUM(B52:B53)</f>
        <v>500</v>
      </c>
      <c r="C54" s="2"/>
      <c r="D54" s="2">
        <f>SUM(D52:D53)</f>
        <v>500</v>
      </c>
      <c r="E54" s="52"/>
      <c r="F54" s="2">
        <f>SUM(F52:F53)</f>
        <v>500</v>
      </c>
      <c r="G54" s="2"/>
      <c r="H54" s="2">
        <f>SUM(H52:H53)</f>
        <v>500</v>
      </c>
    </row>
    <row r="55" spans="1:8" outlineLevel="1" x14ac:dyDescent="0.2">
      <c r="A55" s="10" t="s">
        <v>23</v>
      </c>
      <c r="B55" s="36">
        <v>0</v>
      </c>
      <c r="C55" s="2"/>
      <c r="D55" s="36">
        <v>0</v>
      </c>
      <c r="E55" s="50"/>
      <c r="F55" s="36"/>
      <c r="G55" s="2"/>
      <c r="H55" s="36">
        <v>0</v>
      </c>
    </row>
    <row r="56" spans="1:8" outlineLevel="1" x14ac:dyDescent="0.2">
      <c r="A56" s="27" t="s">
        <v>24</v>
      </c>
      <c r="B56" s="37">
        <v>0</v>
      </c>
      <c r="C56" s="6"/>
      <c r="D56" s="37">
        <v>0</v>
      </c>
      <c r="E56" s="51"/>
      <c r="F56" s="37"/>
      <c r="G56" s="6"/>
      <c r="H56" s="37">
        <v>0</v>
      </c>
    </row>
    <row r="57" spans="1:8" x14ac:dyDescent="0.2">
      <c r="A57" s="10" t="s">
        <v>22</v>
      </c>
      <c r="B57" s="2">
        <f>SUM(B55:B56)</f>
        <v>0</v>
      </c>
      <c r="C57" s="2"/>
      <c r="D57" s="2">
        <f>SUM(D55:D56)</f>
        <v>0</v>
      </c>
      <c r="E57" s="52"/>
      <c r="F57" s="2"/>
      <c r="G57" s="2"/>
      <c r="H57" s="2">
        <f>SUM(H55:H56)</f>
        <v>0</v>
      </c>
    </row>
    <row r="58" spans="1:8" outlineLevel="1" x14ac:dyDescent="0.2">
      <c r="A58" s="10" t="s">
        <v>25</v>
      </c>
      <c r="B58" s="36">
        <v>500</v>
      </c>
      <c r="C58" s="2"/>
      <c r="D58" s="36">
        <v>500</v>
      </c>
      <c r="E58" s="50"/>
      <c r="F58" s="36">
        <v>500</v>
      </c>
      <c r="G58" s="2"/>
      <c r="H58" s="36">
        <v>500</v>
      </c>
    </row>
    <row r="59" spans="1:8" outlineLevel="1" x14ac:dyDescent="0.2">
      <c r="A59" s="10" t="s">
        <v>26</v>
      </c>
      <c r="B59" s="36">
        <v>0</v>
      </c>
      <c r="C59" s="2"/>
      <c r="D59" s="36">
        <v>0</v>
      </c>
      <c r="E59" s="50"/>
      <c r="F59" s="36">
        <v>0</v>
      </c>
      <c r="G59" s="2"/>
      <c r="H59" s="36">
        <v>0</v>
      </c>
    </row>
    <row r="60" spans="1:8" outlineLevel="1" x14ac:dyDescent="0.2">
      <c r="A60" s="10" t="s">
        <v>28</v>
      </c>
      <c r="B60" s="36">
        <v>0</v>
      </c>
      <c r="C60" s="2"/>
      <c r="D60" s="36">
        <v>0</v>
      </c>
      <c r="E60" s="50"/>
      <c r="F60" s="36">
        <v>0</v>
      </c>
      <c r="G60" s="2"/>
      <c r="H60" s="36">
        <v>0</v>
      </c>
    </row>
    <row r="61" spans="1:8" outlineLevel="1" x14ac:dyDescent="0.2">
      <c r="A61" s="27" t="s">
        <v>27</v>
      </c>
      <c r="B61" s="37">
        <v>0</v>
      </c>
      <c r="C61" s="6"/>
      <c r="D61" s="37">
        <v>0</v>
      </c>
      <c r="E61" s="51"/>
      <c r="F61" s="37">
        <v>0</v>
      </c>
      <c r="G61" s="6"/>
      <c r="H61" s="37">
        <v>0</v>
      </c>
    </row>
    <row r="62" spans="1:8" x14ac:dyDescent="0.2">
      <c r="A62" s="10" t="s">
        <v>29</v>
      </c>
      <c r="B62" s="2">
        <f>SUM(B58:B61)</f>
        <v>500</v>
      </c>
      <c r="C62" s="2"/>
      <c r="D62" s="2">
        <f>SUM(D58:D61)</f>
        <v>500</v>
      </c>
      <c r="E62" s="52"/>
      <c r="F62" s="2">
        <f>SUM(F58:F61)</f>
        <v>500</v>
      </c>
      <c r="G62" s="2"/>
      <c r="H62" s="2">
        <f>SUM(H58:H61)</f>
        <v>500</v>
      </c>
    </row>
    <row r="63" spans="1:8" outlineLevel="1" x14ac:dyDescent="0.2">
      <c r="A63" s="10" t="s">
        <v>30</v>
      </c>
      <c r="B63" s="36">
        <v>250</v>
      </c>
      <c r="C63" s="2"/>
      <c r="D63" s="36">
        <v>250</v>
      </c>
      <c r="E63" s="50"/>
      <c r="F63" s="36">
        <v>250</v>
      </c>
      <c r="G63" s="2"/>
      <c r="H63" s="36">
        <v>250</v>
      </c>
    </row>
    <row r="64" spans="1:8" outlineLevel="1" x14ac:dyDescent="0.2">
      <c r="A64" s="10" t="s">
        <v>31</v>
      </c>
      <c r="B64" s="36">
        <v>100</v>
      </c>
      <c r="C64" s="2"/>
      <c r="D64" s="36">
        <v>100</v>
      </c>
      <c r="E64" s="50"/>
      <c r="F64" s="36">
        <v>100</v>
      </c>
      <c r="G64" s="2"/>
      <c r="H64" s="36">
        <v>100</v>
      </c>
    </row>
    <row r="65" spans="1:8" outlineLevel="1" x14ac:dyDescent="0.2">
      <c r="A65" s="10" t="s">
        <v>32</v>
      </c>
      <c r="B65" s="36">
        <v>250</v>
      </c>
      <c r="D65" s="36">
        <v>250</v>
      </c>
      <c r="E65" s="50"/>
      <c r="F65" s="36">
        <v>250</v>
      </c>
      <c r="H65" s="36">
        <v>250</v>
      </c>
    </row>
    <row r="66" spans="1:8" outlineLevel="1" x14ac:dyDescent="0.2">
      <c r="A66" s="10" t="s">
        <v>33</v>
      </c>
      <c r="B66" s="36">
        <v>250</v>
      </c>
      <c r="D66" s="36">
        <v>250</v>
      </c>
      <c r="E66" s="50"/>
      <c r="F66" s="36">
        <v>250</v>
      </c>
      <c r="H66" s="36">
        <v>250</v>
      </c>
    </row>
    <row r="67" spans="1:8" outlineLevel="1" x14ac:dyDescent="0.2">
      <c r="A67" s="27" t="s">
        <v>34</v>
      </c>
      <c r="B67" s="37">
        <v>0</v>
      </c>
      <c r="C67" s="27"/>
      <c r="D67" s="37">
        <v>0</v>
      </c>
      <c r="E67" s="51"/>
      <c r="F67" s="37">
        <v>0</v>
      </c>
      <c r="G67" s="27"/>
      <c r="H67" s="37">
        <v>0</v>
      </c>
    </row>
    <row r="68" spans="1:8" x14ac:dyDescent="0.2">
      <c r="A68" s="10" t="s">
        <v>35</v>
      </c>
      <c r="B68" s="2">
        <f>SUM(B63:B67)</f>
        <v>850</v>
      </c>
      <c r="D68" s="2">
        <f>SUM(D63:D67)</f>
        <v>850</v>
      </c>
      <c r="E68" s="52"/>
      <c r="F68" s="2">
        <f>SUM(F63:F67)</f>
        <v>850</v>
      </c>
      <c r="H68" s="2">
        <f>SUM(H63:H67)</f>
        <v>850</v>
      </c>
    </row>
    <row r="69" spans="1:8" outlineLevel="1" x14ac:dyDescent="0.2">
      <c r="A69" s="10" t="s">
        <v>36</v>
      </c>
      <c r="B69" s="36">
        <v>0</v>
      </c>
      <c r="C69" s="2"/>
      <c r="D69" s="36">
        <v>0</v>
      </c>
      <c r="E69" s="50"/>
      <c r="F69" s="36">
        <v>500</v>
      </c>
      <c r="G69" s="2"/>
      <c r="H69" s="36">
        <v>0</v>
      </c>
    </row>
    <row r="70" spans="1:8" outlineLevel="1" x14ac:dyDescent="0.2">
      <c r="A70" s="27" t="s">
        <v>37</v>
      </c>
      <c r="B70" s="37">
        <v>0</v>
      </c>
      <c r="C70" s="6"/>
      <c r="D70" s="37">
        <v>0</v>
      </c>
      <c r="E70" s="51"/>
      <c r="F70" s="37">
        <v>0</v>
      </c>
      <c r="G70" s="6"/>
      <c r="H70" s="37">
        <v>0</v>
      </c>
    </row>
    <row r="71" spans="1:8" x14ac:dyDescent="0.2">
      <c r="A71" s="10" t="s">
        <v>38</v>
      </c>
      <c r="B71" s="2">
        <f>SUM(B69:B70)</f>
        <v>0</v>
      </c>
      <c r="C71" s="2"/>
      <c r="D71" s="2">
        <f>SUM(D69:D70)</f>
        <v>0</v>
      </c>
      <c r="E71" s="52"/>
      <c r="F71" s="2">
        <f>SUM(F69:F70)</f>
        <v>500</v>
      </c>
      <c r="G71" s="2"/>
      <c r="H71" s="2">
        <f>SUM(H69:H70)</f>
        <v>0</v>
      </c>
    </row>
    <row r="72" spans="1:8" outlineLevel="1" x14ac:dyDescent="0.2">
      <c r="A72" s="10" t="s">
        <v>39</v>
      </c>
      <c r="B72" s="36">
        <v>50</v>
      </c>
      <c r="C72" s="2"/>
      <c r="D72" s="36">
        <v>50</v>
      </c>
      <c r="E72" s="50"/>
      <c r="F72" s="36">
        <v>50</v>
      </c>
      <c r="G72" s="2"/>
      <c r="H72" s="36">
        <v>50</v>
      </c>
    </row>
    <row r="73" spans="1:8" outlineLevel="1" x14ac:dyDescent="0.2">
      <c r="A73" s="27" t="s">
        <v>40</v>
      </c>
      <c r="B73" s="37">
        <v>250</v>
      </c>
      <c r="C73" s="6"/>
      <c r="D73" s="37">
        <v>250</v>
      </c>
      <c r="E73" s="51"/>
      <c r="F73" s="37">
        <v>250</v>
      </c>
      <c r="G73" s="6"/>
      <c r="H73" s="37">
        <v>250</v>
      </c>
    </row>
    <row r="74" spans="1:8" x14ac:dyDescent="0.2">
      <c r="A74" s="10" t="s">
        <v>41</v>
      </c>
      <c r="B74" s="2">
        <f>SUM(B72:B73)</f>
        <v>300</v>
      </c>
      <c r="C74" s="2"/>
      <c r="D74" s="2">
        <f>SUM(D72:D73)</f>
        <v>300</v>
      </c>
      <c r="E74" s="52"/>
      <c r="F74" s="2">
        <f>SUM(F72:F73)</f>
        <v>300</v>
      </c>
      <c r="G74" s="2"/>
      <c r="H74" s="2">
        <f>SUM(H72:H73)</f>
        <v>300</v>
      </c>
    </row>
    <row r="75" spans="1:8" outlineLevel="1" x14ac:dyDescent="0.2">
      <c r="A75" s="10" t="s">
        <v>94</v>
      </c>
      <c r="B75" s="36">
        <v>0</v>
      </c>
      <c r="D75" s="36">
        <v>250</v>
      </c>
      <c r="E75" s="50"/>
      <c r="F75" s="36">
        <v>0</v>
      </c>
      <c r="H75" s="36">
        <v>0</v>
      </c>
    </row>
    <row r="76" spans="1:8" outlineLevel="1" x14ac:dyDescent="0.2">
      <c r="A76" s="10" t="s">
        <v>95</v>
      </c>
      <c r="B76" s="36">
        <v>0</v>
      </c>
      <c r="D76" s="36">
        <v>100</v>
      </c>
      <c r="E76" s="50"/>
      <c r="F76" s="36">
        <v>0</v>
      </c>
      <c r="H76" s="36">
        <v>0</v>
      </c>
    </row>
    <row r="77" spans="1:8" outlineLevel="1" x14ac:dyDescent="0.2">
      <c r="A77" s="10" t="s">
        <v>96</v>
      </c>
      <c r="B77" s="36">
        <v>0</v>
      </c>
      <c r="D77" s="36">
        <v>300</v>
      </c>
      <c r="E77" s="50"/>
      <c r="F77" s="36">
        <v>0</v>
      </c>
      <c r="H77" s="36">
        <v>0</v>
      </c>
    </row>
    <row r="78" spans="1:8" outlineLevel="1" x14ac:dyDescent="0.2">
      <c r="A78" s="10" t="s">
        <v>42</v>
      </c>
      <c r="B78" s="36">
        <v>50</v>
      </c>
      <c r="D78" s="36">
        <v>50</v>
      </c>
      <c r="E78" s="50"/>
      <c r="F78" s="36">
        <v>50</v>
      </c>
      <c r="H78" s="36">
        <v>50</v>
      </c>
    </row>
    <row r="79" spans="1:8" outlineLevel="1" x14ac:dyDescent="0.2">
      <c r="A79" s="28" t="s">
        <v>43</v>
      </c>
      <c r="B79" s="41"/>
      <c r="D79" s="41"/>
      <c r="E79" s="53"/>
      <c r="F79" s="41"/>
      <c r="H79" s="41"/>
    </row>
    <row r="80" spans="1:8" outlineLevel="1" x14ac:dyDescent="0.2">
      <c r="A80" s="10" t="s">
        <v>44</v>
      </c>
      <c r="B80" s="36">
        <v>100</v>
      </c>
      <c r="D80" s="36">
        <v>100</v>
      </c>
      <c r="E80" s="50"/>
      <c r="F80" s="36">
        <v>100</v>
      </c>
      <c r="H80" s="36">
        <v>100</v>
      </c>
    </row>
    <row r="81" spans="1:8" outlineLevel="1" x14ac:dyDescent="0.2">
      <c r="A81" s="10" t="s">
        <v>45</v>
      </c>
      <c r="B81" s="36">
        <v>50</v>
      </c>
      <c r="D81" s="36">
        <v>50</v>
      </c>
      <c r="E81" s="50"/>
      <c r="F81" s="36">
        <v>50</v>
      </c>
      <c r="H81" s="36">
        <v>50</v>
      </c>
    </row>
    <row r="82" spans="1:8" outlineLevel="1" x14ac:dyDescent="0.2">
      <c r="A82" s="10" t="s">
        <v>46</v>
      </c>
      <c r="B82" s="36">
        <v>250</v>
      </c>
      <c r="D82" s="36">
        <f>250+150</f>
        <v>400</v>
      </c>
      <c r="E82" s="50"/>
      <c r="F82" s="36">
        <v>250</v>
      </c>
      <c r="H82" s="36">
        <v>250</v>
      </c>
    </row>
    <row r="83" spans="1:8" outlineLevel="1" x14ac:dyDescent="0.2">
      <c r="A83" s="10" t="s">
        <v>97</v>
      </c>
      <c r="B83" s="36"/>
      <c r="D83" s="36">
        <v>3500</v>
      </c>
      <c r="E83" s="50"/>
      <c r="F83" s="36"/>
      <c r="H83" s="36"/>
    </row>
    <row r="84" spans="1:8" outlineLevel="1" x14ac:dyDescent="0.2">
      <c r="A84" s="10" t="s">
        <v>47</v>
      </c>
      <c r="B84" s="36">
        <v>0</v>
      </c>
      <c r="D84" s="36">
        <v>0</v>
      </c>
      <c r="E84" s="50"/>
      <c r="F84" s="36">
        <v>500</v>
      </c>
      <c r="H84" s="36">
        <v>0</v>
      </c>
    </row>
    <row r="85" spans="1:8" outlineLevel="1" x14ac:dyDescent="0.2">
      <c r="A85" s="10" t="s">
        <v>48</v>
      </c>
      <c r="B85" s="36">
        <v>0</v>
      </c>
      <c r="D85" s="36">
        <v>0</v>
      </c>
      <c r="E85" s="50"/>
      <c r="F85" s="36">
        <v>18</v>
      </c>
      <c r="H85" s="36">
        <v>0</v>
      </c>
    </row>
    <row r="86" spans="1:8" outlineLevel="1" x14ac:dyDescent="0.2">
      <c r="A86" s="27" t="s">
        <v>49</v>
      </c>
      <c r="B86" s="37">
        <v>0</v>
      </c>
      <c r="C86" s="27"/>
      <c r="D86" s="37">
        <v>0</v>
      </c>
      <c r="E86" s="51"/>
      <c r="F86" s="37"/>
      <c r="G86" s="27"/>
      <c r="H86" s="37">
        <v>0</v>
      </c>
    </row>
    <row r="87" spans="1:8" x14ac:dyDescent="0.2">
      <c r="A87" s="10" t="s">
        <v>50</v>
      </c>
      <c r="B87" s="2">
        <f>SUM(B75:B86)</f>
        <v>450</v>
      </c>
      <c r="D87" s="2">
        <f>SUM(D75:D86)</f>
        <v>4750</v>
      </c>
      <c r="E87" s="52"/>
      <c r="F87" s="2">
        <f>SUM(F75:F86)</f>
        <v>968</v>
      </c>
      <c r="H87" s="2">
        <f>SUM(H75:H86)</f>
        <v>450</v>
      </c>
    </row>
    <row r="88" spans="1:8" x14ac:dyDescent="0.2">
      <c r="A88" s="27" t="s">
        <v>74</v>
      </c>
      <c r="B88" s="37">
        <v>1500</v>
      </c>
      <c r="C88" s="27"/>
      <c r="D88" s="37"/>
      <c r="E88" s="51"/>
      <c r="F88" s="37"/>
      <c r="G88" s="27"/>
      <c r="H88" s="37">
        <v>0</v>
      </c>
    </row>
    <row r="89" spans="1:8" x14ac:dyDescent="0.2">
      <c r="A89" s="10" t="s">
        <v>51</v>
      </c>
      <c r="B89" s="2">
        <f>SUM(B88,B87,B74,B71,B68,B62,B57,B54,B51,B48)</f>
        <v>6250</v>
      </c>
      <c r="D89" s="2">
        <f>SUM(D88,D87,D74,D71,D68,D62,D57,D54,D51,D48)</f>
        <v>9050</v>
      </c>
      <c r="E89" s="52"/>
      <c r="F89" s="2">
        <f>SUM(F88,F87,F74,F71,F68,F62,F57,F54,F51,F48)</f>
        <v>5768</v>
      </c>
      <c r="H89" s="2">
        <f>SUM(H88,H87,H74,H71,H68,H62,H57,H54,H51,H48)</f>
        <v>4750</v>
      </c>
    </row>
    <row r="90" spans="1:8" x14ac:dyDescent="0.2">
      <c r="A90" s="10" t="s">
        <v>52</v>
      </c>
      <c r="B90" s="36">
        <v>0</v>
      </c>
      <c r="D90" s="36">
        <v>0</v>
      </c>
      <c r="E90" s="50"/>
      <c r="F90" s="36">
        <v>0</v>
      </c>
      <c r="H90" s="36">
        <v>0</v>
      </c>
    </row>
    <row r="91" spans="1:8" x14ac:dyDescent="0.2">
      <c r="A91" s="10" t="s">
        <v>89</v>
      </c>
      <c r="B91" s="34">
        <f>IF(B107="ja",(ROUND(B89*0.2,2)),0)</f>
        <v>1250</v>
      </c>
      <c r="C91" s="2"/>
      <c r="D91" s="34">
        <f>IF(D107="ja",(ROUND(D89*0.2,2)),0)</f>
        <v>1810</v>
      </c>
      <c r="E91" s="50"/>
      <c r="F91" s="34">
        <f>IF(F107="ja",(ROUND(F89*0.2,2)),0)</f>
        <v>1153.5999999999999</v>
      </c>
      <c r="G91" s="2"/>
      <c r="H91" s="34">
        <f>IF(H107="ja",(ROUND(H89*0.2,2)),0)</f>
        <v>950</v>
      </c>
    </row>
    <row r="92" spans="1:8" x14ac:dyDescent="0.2">
      <c r="A92" s="27" t="s">
        <v>53</v>
      </c>
      <c r="B92" s="37">
        <v>0</v>
      </c>
      <c r="C92" s="6"/>
      <c r="D92" s="37">
        <v>0</v>
      </c>
      <c r="E92" s="51"/>
      <c r="F92" s="37"/>
      <c r="G92" s="6"/>
      <c r="H92" s="37">
        <v>0</v>
      </c>
    </row>
    <row r="93" spans="1:8" x14ac:dyDescent="0.2">
      <c r="A93" s="10" t="s">
        <v>54</v>
      </c>
      <c r="B93" s="2">
        <f>SUM(B89:B92)</f>
        <v>7500</v>
      </c>
      <c r="C93" s="2"/>
      <c r="D93" s="2">
        <f>SUM(D89:D92)</f>
        <v>10860</v>
      </c>
      <c r="E93" s="2"/>
      <c r="F93" s="2">
        <f>SUM(F89:F92)</f>
        <v>6921.6</v>
      </c>
      <c r="G93" s="2"/>
      <c r="H93" s="2">
        <f>SUM(H89:H92)</f>
        <v>5700</v>
      </c>
    </row>
    <row r="94" spans="1:8" x14ac:dyDescent="0.2">
      <c r="B94" s="2"/>
      <c r="C94" s="2"/>
      <c r="D94" s="2"/>
      <c r="E94" s="2"/>
      <c r="F94" s="2"/>
      <c r="G94" s="2"/>
      <c r="H94" s="2"/>
    </row>
    <row r="95" spans="1:8" x14ac:dyDescent="0.2">
      <c r="B95" s="2"/>
      <c r="C95" s="2"/>
      <c r="D95" s="2"/>
      <c r="E95" s="2"/>
      <c r="F95" s="2"/>
      <c r="G95" s="2"/>
      <c r="H95" s="2"/>
    </row>
    <row r="96" spans="1:8" ht="15.75" x14ac:dyDescent="0.25">
      <c r="A96" s="21" t="s">
        <v>56</v>
      </c>
      <c r="B96" s="2"/>
      <c r="C96" s="2"/>
      <c r="D96" s="2"/>
      <c r="E96" s="2"/>
      <c r="F96" s="2"/>
      <c r="G96" s="2"/>
      <c r="H96" s="2"/>
    </row>
    <row r="97" spans="1:8" x14ac:dyDescent="0.2">
      <c r="B97" s="2"/>
      <c r="C97" s="2"/>
      <c r="D97" s="2"/>
      <c r="E97" s="2"/>
      <c r="F97" s="2"/>
      <c r="G97" s="2"/>
      <c r="H97" s="2"/>
    </row>
    <row r="98" spans="1:8" x14ac:dyDescent="0.2">
      <c r="B98" s="31" t="s">
        <v>62</v>
      </c>
      <c r="C98" s="31"/>
      <c r="D98" s="31" t="s">
        <v>63</v>
      </c>
      <c r="E98" s="31"/>
      <c r="F98" s="31"/>
      <c r="G98" s="31"/>
      <c r="H98" s="31" t="s">
        <v>64</v>
      </c>
    </row>
    <row r="99" spans="1:8" x14ac:dyDescent="0.2">
      <c r="A99" s="10" t="s">
        <v>57</v>
      </c>
      <c r="B99" s="36">
        <v>0</v>
      </c>
      <c r="C99" s="2"/>
      <c r="D99" s="2">
        <v>1</v>
      </c>
      <c r="E99" s="2"/>
      <c r="F99" s="2"/>
      <c r="G99" s="2"/>
      <c r="H99" s="2">
        <f>+B99*D99</f>
        <v>0</v>
      </c>
    </row>
    <row r="100" spans="1:8" x14ac:dyDescent="0.2">
      <c r="A100" s="10" t="s">
        <v>58</v>
      </c>
      <c r="B100" s="36">
        <v>1</v>
      </c>
      <c r="C100" s="2"/>
      <c r="D100" s="2">
        <v>1</v>
      </c>
      <c r="E100" s="2"/>
      <c r="F100" s="2"/>
      <c r="G100" s="2"/>
      <c r="H100" s="2">
        <f>+B100*D100</f>
        <v>1</v>
      </c>
    </row>
    <row r="101" spans="1:8" x14ac:dyDescent="0.2">
      <c r="A101" s="10" t="s">
        <v>59</v>
      </c>
      <c r="B101" s="36">
        <v>0</v>
      </c>
      <c r="C101" s="2"/>
      <c r="D101" s="2">
        <v>0.75</v>
      </c>
      <c r="E101" s="2"/>
      <c r="F101" s="2"/>
      <c r="G101" s="2"/>
      <c r="H101" s="2">
        <f>+B101*D101</f>
        <v>0</v>
      </c>
    </row>
    <row r="102" spans="1:8" x14ac:dyDescent="0.2">
      <c r="A102" s="10" t="s">
        <v>60</v>
      </c>
      <c r="B102" s="36">
        <v>0</v>
      </c>
      <c r="C102" s="2"/>
      <c r="D102" s="2">
        <v>0.5</v>
      </c>
      <c r="E102" s="2"/>
      <c r="F102" s="2"/>
      <c r="G102" s="2"/>
      <c r="H102" s="2">
        <f>+B102*D102</f>
        <v>0</v>
      </c>
    </row>
    <row r="103" spans="1:8" x14ac:dyDescent="0.2">
      <c r="A103" s="10" t="s">
        <v>61</v>
      </c>
      <c r="B103" s="36">
        <v>0</v>
      </c>
      <c r="D103" s="10">
        <v>0.3</v>
      </c>
      <c r="H103" s="2">
        <f>+B103*D103</f>
        <v>0</v>
      </c>
    </row>
    <row r="105" spans="1:8" x14ac:dyDescent="0.2">
      <c r="H105" s="30">
        <f>SUM(H99:H104)</f>
        <v>1</v>
      </c>
    </row>
    <row r="107" spans="1:8" x14ac:dyDescent="0.2">
      <c r="A107" s="10" t="s">
        <v>71</v>
      </c>
      <c r="B107" s="38" t="s">
        <v>72</v>
      </c>
      <c r="D107" s="38" t="s">
        <v>72</v>
      </c>
      <c r="E107" s="38"/>
      <c r="F107" s="38" t="s">
        <v>72</v>
      </c>
      <c r="H107" s="38" t="s">
        <v>72</v>
      </c>
    </row>
    <row r="108" spans="1:8" hidden="1" x14ac:dyDescent="0.2">
      <c r="A108" s="10" t="s">
        <v>72</v>
      </c>
    </row>
    <row r="109" spans="1:8" hidden="1" x14ac:dyDescent="0.2">
      <c r="A109" s="10" t="s">
        <v>73</v>
      </c>
    </row>
    <row r="112" spans="1:8" ht="15.75" x14ac:dyDescent="0.25">
      <c r="A112" s="21" t="s">
        <v>98</v>
      </c>
    </row>
    <row r="114" spans="1:8" x14ac:dyDescent="0.2">
      <c r="A114" s="10" t="s">
        <v>76</v>
      </c>
      <c r="B114" s="2">
        <v>0</v>
      </c>
      <c r="D114" s="2">
        <v>0</v>
      </c>
      <c r="E114" s="2"/>
      <c r="F114" s="2">
        <v>0</v>
      </c>
      <c r="H114" s="2">
        <v>0</v>
      </c>
    </row>
    <row r="115" spans="1:8" x14ac:dyDescent="0.2">
      <c r="A115" s="10" t="s">
        <v>77</v>
      </c>
      <c r="B115" s="2">
        <v>0</v>
      </c>
      <c r="D115" s="2">
        <v>0</v>
      </c>
      <c r="E115" s="2"/>
      <c r="F115" s="2">
        <v>0</v>
      </c>
      <c r="H115" s="2">
        <v>0</v>
      </c>
    </row>
    <row r="116" spans="1:8" x14ac:dyDescent="0.2">
      <c r="A116" s="10" t="s">
        <v>78</v>
      </c>
      <c r="B116" s="2">
        <v>0</v>
      </c>
      <c r="D116" s="2">
        <v>0</v>
      </c>
      <c r="E116" s="2"/>
      <c r="F116" s="2">
        <v>0</v>
      </c>
      <c r="H116" s="2">
        <v>0</v>
      </c>
    </row>
    <row r="119" spans="1:8" ht="15.75" x14ac:dyDescent="0.25">
      <c r="A119" s="10" t="s">
        <v>75</v>
      </c>
    </row>
  </sheetData>
  <sheetProtection selectLockedCells="1"/>
  <dataValidations count="1">
    <dataValidation type="list" allowBlank="1" showInputMessage="1" showErrorMessage="1" sqref="H107 D107:F107 B107" xr:uid="{00000000-0002-0000-0500-000000000000}">
      <formula1>$A$108:$A$109</formula1>
    </dataValidation>
  </dataValidations>
  <pageMargins left="0.7" right="0.7" top="0.78740157499999996" bottom="0.78740157499999996" header="0.3" footer="0.3"/>
  <pageSetup paperSize="9" scale="64" fitToHeight="0" orientation="landscape" r:id="rId1"/>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6"/>
  <sheetViews>
    <sheetView zoomScale="85" zoomScaleNormal="85" workbookViewId="0">
      <pane xSplit="3" ySplit="2" topLeftCell="G3" activePane="bottomRight" state="frozen"/>
      <selection pane="topRight" activeCell="D1" sqref="D1"/>
      <selection pane="bottomLeft" activeCell="A3" sqref="A3"/>
      <selection pane="bottomRight" activeCell="M5" sqref="M5"/>
    </sheetView>
  </sheetViews>
  <sheetFormatPr baseColWidth="10" defaultColWidth="11.42578125" defaultRowHeight="15" x14ac:dyDescent="0.25"/>
  <cols>
    <col min="1" max="1" width="17.85546875" style="54" customWidth="1"/>
    <col min="2" max="2" width="8.5703125" style="54" customWidth="1"/>
    <col min="3" max="3" width="39.5703125" style="54" customWidth="1"/>
    <col min="4" max="4" width="17.7109375" style="67" customWidth="1"/>
    <col min="5" max="5" width="18.28515625" style="67" customWidth="1"/>
    <col min="6" max="15" width="16.28515625" style="67" customWidth="1"/>
    <col min="16" max="16" width="16.85546875" style="67" customWidth="1"/>
    <col min="17" max="17" width="15.28515625" style="54" customWidth="1"/>
    <col min="18" max="18" width="16.85546875" style="54" bestFit="1" customWidth="1"/>
    <col min="19" max="19" width="12.85546875" style="54" bestFit="1" customWidth="1"/>
    <col min="20" max="16384" width="11.42578125" style="54"/>
  </cols>
  <sheetData>
    <row r="1" spans="1:16" ht="26.45" customHeight="1" x14ac:dyDescent="0.35">
      <c r="A1" s="125" t="e">
        <f>+Anspruchsvoraussetzung!#REF!</f>
        <v>#REF!</v>
      </c>
      <c r="B1" s="56"/>
      <c r="C1" s="55" t="s">
        <v>110</v>
      </c>
      <c r="D1" s="55" t="e">
        <f>+Anspruchsvoraussetzung!#REF!</f>
        <v>#REF!</v>
      </c>
      <c r="E1" s="57"/>
      <c r="F1" s="58" t="s">
        <v>111</v>
      </c>
      <c r="G1" s="57"/>
      <c r="H1" s="59" t="e">
        <f>+#REF!</f>
        <v>#REF!</v>
      </c>
      <c r="I1" s="57"/>
      <c r="J1" s="57"/>
      <c r="K1" s="57"/>
      <c r="L1" s="57"/>
      <c r="M1" s="57"/>
      <c r="N1" s="57"/>
      <c r="O1" s="57"/>
      <c r="P1" s="57"/>
    </row>
    <row r="2" spans="1:16" ht="21.75" customHeight="1" x14ac:dyDescent="0.25">
      <c r="A2" s="60" t="s">
        <v>112</v>
      </c>
      <c r="B2" s="60" t="s">
        <v>113</v>
      </c>
      <c r="C2" s="60" t="s">
        <v>114</v>
      </c>
      <c r="D2" s="61" t="s">
        <v>115</v>
      </c>
      <c r="E2" s="61" t="s">
        <v>116</v>
      </c>
      <c r="F2" s="62" t="s">
        <v>117</v>
      </c>
      <c r="G2" s="62" t="s">
        <v>118</v>
      </c>
      <c r="H2" s="62" t="s">
        <v>119</v>
      </c>
      <c r="I2" s="62" t="s">
        <v>120</v>
      </c>
      <c r="J2" s="62" t="s">
        <v>121</v>
      </c>
      <c r="K2" s="62" t="s">
        <v>122</v>
      </c>
      <c r="L2" s="62" t="s">
        <v>123</v>
      </c>
      <c r="M2" s="62" t="s">
        <v>124</v>
      </c>
      <c r="N2" s="62" t="s">
        <v>125</v>
      </c>
      <c r="O2" s="62" t="s">
        <v>126</v>
      </c>
      <c r="P2" s="62" t="s">
        <v>127</v>
      </c>
    </row>
    <row r="4" spans="1:16" x14ac:dyDescent="0.25">
      <c r="C4" s="63" t="s">
        <v>128</v>
      </c>
      <c r="D4" s="64">
        <v>3700</v>
      </c>
      <c r="E4" s="64">
        <v>4400</v>
      </c>
      <c r="F4" s="64">
        <v>2100</v>
      </c>
      <c r="G4" s="64">
        <v>7600</v>
      </c>
      <c r="H4" s="64">
        <v>600</v>
      </c>
      <c r="I4" s="64">
        <v>-3200</v>
      </c>
      <c r="J4" s="64">
        <v>-3800</v>
      </c>
      <c r="K4" s="64">
        <v>-2200</v>
      </c>
      <c r="L4" s="64">
        <v>700</v>
      </c>
      <c r="M4" s="64">
        <v>7900</v>
      </c>
      <c r="N4" s="64">
        <v>200</v>
      </c>
      <c r="O4" s="64">
        <v>100</v>
      </c>
      <c r="P4" s="64">
        <f>SUM(D4:O4)</f>
        <v>18100</v>
      </c>
    </row>
    <row r="5" spans="1:16" x14ac:dyDescent="0.25">
      <c r="C5" s="63" t="s">
        <v>129</v>
      </c>
      <c r="D5" s="65"/>
      <c r="E5" s="65"/>
      <c r="F5" s="65"/>
      <c r="G5" s="64">
        <v>9000</v>
      </c>
      <c r="H5" s="65"/>
      <c r="I5" s="65"/>
      <c r="J5" s="65"/>
      <c r="K5" s="65"/>
      <c r="L5" s="65"/>
      <c r="M5" s="64">
        <v>9000</v>
      </c>
      <c r="N5" s="65"/>
      <c r="O5" s="65"/>
      <c r="P5" s="65"/>
    </row>
    <row r="7" spans="1:16" x14ac:dyDescent="0.25">
      <c r="C7" s="66" t="s">
        <v>130</v>
      </c>
      <c r="P7" s="68"/>
    </row>
    <row r="8" spans="1:16" x14ac:dyDescent="0.25">
      <c r="C8" s="54" t="s">
        <v>131</v>
      </c>
    </row>
    <row r="9" spans="1:16" x14ac:dyDescent="0.25">
      <c r="C9" s="54" t="s">
        <v>132</v>
      </c>
      <c r="D9" s="67">
        <v>-125</v>
      </c>
      <c r="E9" s="67">
        <v>-125</v>
      </c>
      <c r="F9" s="67">
        <v>-125</v>
      </c>
      <c r="G9" s="67">
        <v>-125</v>
      </c>
      <c r="H9" s="67">
        <v>-125</v>
      </c>
      <c r="I9" s="67">
        <v>-125</v>
      </c>
      <c r="J9" s="67">
        <v>-125</v>
      </c>
      <c r="K9" s="67">
        <v>-125</v>
      </c>
      <c r="L9" s="67">
        <v>-125</v>
      </c>
      <c r="M9" s="67">
        <v>-125</v>
      </c>
      <c r="N9" s="67">
        <v>-125</v>
      </c>
      <c r="O9" s="67">
        <v>1375</v>
      </c>
    </row>
    <row r="10" spans="1:16" x14ac:dyDescent="0.25">
      <c r="C10" s="54" t="s">
        <v>133</v>
      </c>
    </row>
    <row r="11" spans="1:16" x14ac:dyDescent="0.25">
      <c r="C11" s="69" t="s">
        <v>134</v>
      </c>
      <c r="D11" s="70"/>
      <c r="E11" s="70"/>
      <c r="F11" s="70"/>
      <c r="G11" s="70"/>
      <c r="H11" s="70"/>
      <c r="I11" s="70"/>
      <c r="J11" s="70"/>
      <c r="K11" s="70"/>
      <c r="L11" s="70"/>
      <c r="M11" s="70"/>
      <c r="N11" s="70"/>
      <c r="O11" s="70"/>
      <c r="P11" s="70"/>
    </row>
    <row r="12" spans="1:16" x14ac:dyDescent="0.25">
      <c r="C12" s="54" t="s">
        <v>135</v>
      </c>
      <c r="D12" s="67">
        <f t="shared" ref="D12:E12" si="0">SUM(D8:D11)</f>
        <v>-125</v>
      </c>
      <c r="E12" s="67">
        <f t="shared" si="0"/>
        <v>-125</v>
      </c>
      <c r="F12" s="67">
        <f>SUM(F8:F11)</f>
        <v>-125</v>
      </c>
      <c r="G12" s="67">
        <f t="shared" ref="G12:O12" si="1">SUM(G8:G11)</f>
        <v>-125</v>
      </c>
      <c r="H12" s="67">
        <f t="shared" si="1"/>
        <v>-125</v>
      </c>
      <c r="I12" s="67">
        <f t="shared" si="1"/>
        <v>-125</v>
      </c>
      <c r="J12" s="67">
        <f t="shared" si="1"/>
        <v>-125</v>
      </c>
      <c r="K12" s="67">
        <f t="shared" si="1"/>
        <v>-125</v>
      </c>
      <c r="L12" s="67">
        <f t="shared" si="1"/>
        <v>-125</v>
      </c>
      <c r="M12" s="67">
        <f t="shared" si="1"/>
        <v>-125</v>
      </c>
      <c r="N12" s="67">
        <f t="shared" si="1"/>
        <v>-125</v>
      </c>
      <c r="O12" s="67">
        <f t="shared" si="1"/>
        <v>1375</v>
      </c>
      <c r="P12" s="67">
        <f>SUM(D12:O12)</f>
        <v>0</v>
      </c>
    </row>
    <row r="13" spans="1:16" ht="15.75" thickBot="1" x14ac:dyDescent="0.3"/>
    <row r="14" spans="1:16" ht="15.75" thickBot="1" x14ac:dyDescent="0.3">
      <c r="A14" s="71"/>
      <c r="B14" s="72"/>
      <c r="C14" s="73" t="s">
        <v>136</v>
      </c>
      <c r="D14" s="74">
        <f>+D4+D12</f>
        <v>3575</v>
      </c>
      <c r="E14" s="74">
        <f t="shared" ref="E14:P14" si="2">+E4+E12</f>
        <v>4275</v>
      </c>
      <c r="F14" s="74">
        <f t="shared" si="2"/>
        <v>1975</v>
      </c>
      <c r="G14" s="74">
        <f t="shared" si="2"/>
        <v>7475</v>
      </c>
      <c r="H14" s="74">
        <f t="shared" si="2"/>
        <v>475</v>
      </c>
      <c r="I14" s="74">
        <f t="shared" si="2"/>
        <v>-3325</v>
      </c>
      <c r="J14" s="74">
        <f t="shared" si="2"/>
        <v>-3925</v>
      </c>
      <c r="K14" s="74">
        <f t="shared" si="2"/>
        <v>-2325</v>
      </c>
      <c r="L14" s="74">
        <f t="shared" si="2"/>
        <v>575</v>
      </c>
      <c r="M14" s="74">
        <f t="shared" si="2"/>
        <v>7775</v>
      </c>
      <c r="N14" s="74">
        <f t="shared" si="2"/>
        <v>75</v>
      </c>
      <c r="O14" s="74">
        <f t="shared" si="2"/>
        <v>1475</v>
      </c>
      <c r="P14" s="74">
        <f t="shared" si="2"/>
        <v>18100</v>
      </c>
    </row>
    <row r="16" spans="1:16" x14ac:dyDescent="0.25">
      <c r="C16" s="75" t="s">
        <v>137</v>
      </c>
      <c r="F16" s="76">
        <v>0</v>
      </c>
      <c r="G16" s="76">
        <v>0</v>
      </c>
      <c r="H16" s="76">
        <v>0</v>
      </c>
      <c r="I16" s="76">
        <v>0</v>
      </c>
      <c r="J16" s="76">
        <v>0</v>
      </c>
      <c r="K16" s="76">
        <v>0</v>
      </c>
      <c r="L16" s="76">
        <v>0</v>
      </c>
      <c r="M16" s="76">
        <v>0</v>
      </c>
      <c r="N16" s="76">
        <v>0</v>
      </c>
      <c r="O16" s="76">
        <v>0</v>
      </c>
    </row>
    <row r="18" spans="3:16" x14ac:dyDescent="0.25">
      <c r="C18" s="75" t="s">
        <v>138</v>
      </c>
    </row>
    <row r="19" spans="3:16" x14ac:dyDescent="0.25">
      <c r="C19" s="54" t="s">
        <v>139</v>
      </c>
      <c r="L19" s="76">
        <v>-450</v>
      </c>
      <c r="M19" s="76">
        <v>-500</v>
      </c>
      <c r="N19" s="76">
        <v>-460</v>
      </c>
      <c r="O19" s="76">
        <v>-1150</v>
      </c>
    </row>
    <row r="20" spans="3:16" x14ac:dyDescent="0.25">
      <c r="C20" s="54" t="s">
        <v>109</v>
      </c>
      <c r="F20" s="70"/>
      <c r="G20" s="70"/>
      <c r="H20" s="70"/>
      <c r="I20" s="70"/>
      <c r="J20" s="70"/>
      <c r="K20" s="70"/>
      <c r="L20" s="77">
        <v>400</v>
      </c>
      <c r="M20" s="77">
        <v>550</v>
      </c>
      <c r="N20" s="77">
        <v>400</v>
      </c>
      <c r="O20" s="77">
        <v>400</v>
      </c>
    </row>
    <row r="21" spans="3:16" x14ac:dyDescent="0.25">
      <c r="C21" s="54" t="s">
        <v>140</v>
      </c>
      <c r="L21" s="67">
        <f>IF((L19+L20)&gt;0,0,(L19+L20))</f>
        <v>-50</v>
      </c>
      <c r="M21" s="67">
        <f t="shared" ref="M21:O21" si="3">IF((M19+M20)&gt;0,0,(M19+M20))</f>
        <v>0</v>
      </c>
      <c r="N21" s="67">
        <f t="shared" si="3"/>
        <v>-60</v>
      </c>
      <c r="O21" s="67">
        <f t="shared" si="3"/>
        <v>-750</v>
      </c>
    </row>
    <row r="22" spans="3:16" x14ac:dyDescent="0.25">
      <c r="C22" s="54" t="s">
        <v>141</v>
      </c>
      <c r="L22" s="76"/>
      <c r="M22" s="76"/>
      <c r="N22" s="76"/>
      <c r="O22" s="76">
        <v>-2000</v>
      </c>
    </row>
    <row r="23" spans="3:16" x14ac:dyDescent="0.25">
      <c r="C23" s="54" t="s">
        <v>142</v>
      </c>
      <c r="F23" s="70"/>
      <c r="G23" s="70"/>
      <c r="H23" s="70"/>
      <c r="I23" s="70"/>
      <c r="J23" s="70"/>
      <c r="K23" s="70"/>
      <c r="L23" s="77"/>
      <c r="M23" s="77"/>
      <c r="N23" s="77"/>
      <c r="O23" s="77">
        <v>-1500</v>
      </c>
    </row>
    <row r="24" spans="3:16" x14ac:dyDescent="0.25">
      <c r="C24" s="54" t="s">
        <v>143</v>
      </c>
      <c r="F24" s="67">
        <f>SUM(F21:F23)</f>
        <v>0</v>
      </c>
      <c r="G24" s="67">
        <f t="shared" ref="G24:O24" si="4">SUM(G21:G23)</f>
        <v>0</v>
      </c>
      <c r="H24" s="67">
        <f t="shared" si="4"/>
        <v>0</v>
      </c>
      <c r="I24" s="67">
        <f t="shared" si="4"/>
        <v>0</v>
      </c>
      <c r="J24" s="67">
        <f t="shared" si="4"/>
        <v>0</v>
      </c>
      <c r="K24" s="67">
        <f t="shared" si="4"/>
        <v>0</v>
      </c>
      <c r="L24" s="67">
        <f t="shared" si="4"/>
        <v>-50</v>
      </c>
      <c r="M24" s="67">
        <f t="shared" si="4"/>
        <v>0</v>
      </c>
      <c r="N24" s="67">
        <f t="shared" si="4"/>
        <v>-60</v>
      </c>
      <c r="O24" s="67">
        <f t="shared" si="4"/>
        <v>-4250</v>
      </c>
    </row>
    <row r="26" spans="3:16" x14ac:dyDescent="0.25">
      <c r="C26" s="75" t="s">
        <v>144</v>
      </c>
    </row>
    <row r="27" spans="3:16" x14ac:dyDescent="0.25">
      <c r="C27" s="54" t="s">
        <v>145</v>
      </c>
      <c r="F27" s="76">
        <v>-1180</v>
      </c>
      <c r="G27" s="76">
        <v>-1180</v>
      </c>
      <c r="H27" s="76">
        <v>-1180</v>
      </c>
      <c r="I27" s="76">
        <v>-1180</v>
      </c>
      <c r="J27" s="76">
        <v>-1180</v>
      </c>
      <c r="K27" s="76">
        <v>-1180</v>
      </c>
      <c r="L27" s="76">
        <v>-1180</v>
      </c>
      <c r="M27" s="76">
        <v>-1180</v>
      </c>
      <c r="N27" s="76">
        <v>-1180</v>
      </c>
      <c r="O27" s="76">
        <v>-1180</v>
      </c>
    </row>
    <row r="28" spans="3:16" x14ac:dyDescent="0.25">
      <c r="C28" s="78" t="s">
        <v>146</v>
      </c>
      <c r="D28" s="79"/>
      <c r="E28" s="79"/>
      <c r="F28" s="80">
        <v>-500</v>
      </c>
      <c r="G28" s="80">
        <v>-500</v>
      </c>
      <c r="H28" s="80">
        <v>-500</v>
      </c>
      <c r="I28" s="80">
        <v>-500</v>
      </c>
      <c r="J28" s="80">
        <v>-500</v>
      </c>
      <c r="K28" s="80">
        <v>-500</v>
      </c>
      <c r="L28" s="80">
        <v>-500</v>
      </c>
      <c r="M28" s="80">
        <v>-500</v>
      </c>
      <c r="N28" s="80">
        <v>-500</v>
      </c>
      <c r="O28" s="80">
        <v>-500</v>
      </c>
    </row>
    <row r="29" spans="3:16" x14ac:dyDescent="0.25">
      <c r="C29" s="78" t="s">
        <v>147</v>
      </c>
      <c r="D29" s="79"/>
      <c r="E29" s="79"/>
      <c r="F29" s="80">
        <f t="shared" ref="F29:M29" si="5">+G29</f>
        <v>-159</v>
      </c>
      <c r="G29" s="80">
        <f t="shared" si="5"/>
        <v>-159</v>
      </c>
      <c r="H29" s="80">
        <f t="shared" si="5"/>
        <v>-159</v>
      </c>
      <c r="I29" s="80">
        <f t="shared" si="5"/>
        <v>-159</v>
      </c>
      <c r="J29" s="80">
        <f t="shared" si="5"/>
        <v>-159</v>
      </c>
      <c r="K29" s="80">
        <f t="shared" si="5"/>
        <v>-159</v>
      </c>
      <c r="L29" s="80">
        <f t="shared" si="5"/>
        <v>-159</v>
      </c>
      <c r="M29" s="80">
        <f t="shared" si="5"/>
        <v>-159</v>
      </c>
      <c r="N29" s="80">
        <f>+O29</f>
        <v>-159</v>
      </c>
      <c r="O29" s="80">
        <f>-ROUND(P29/12,0)</f>
        <v>-159</v>
      </c>
      <c r="P29" s="76">
        <f>P14*0.1*1.055</f>
        <v>1909.55</v>
      </c>
    </row>
    <row r="30" spans="3:16" x14ac:dyDescent="0.25">
      <c r="C30" s="78" t="s">
        <v>148</v>
      </c>
      <c r="D30" s="79"/>
      <c r="E30" s="79"/>
      <c r="F30" s="80">
        <v>-50</v>
      </c>
      <c r="G30" s="80">
        <v>-50</v>
      </c>
      <c r="H30" s="80">
        <v>-50</v>
      </c>
      <c r="I30" s="80">
        <v>-50</v>
      </c>
      <c r="J30" s="80">
        <v>-50</v>
      </c>
      <c r="K30" s="80">
        <v>-50</v>
      </c>
      <c r="L30" s="80">
        <v>-50</v>
      </c>
      <c r="M30" s="80">
        <v>-50</v>
      </c>
      <c r="N30" s="80">
        <v>-50</v>
      </c>
      <c r="O30" s="80">
        <v>-50</v>
      </c>
    </row>
    <row r="31" spans="3:16" x14ac:dyDescent="0.25">
      <c r="C31" s="81" t="s">
        <v>149</v>
      </c>
      <c r="D31" s="79"/>
      <c r="E31" s="79"/>
      <c r="F31" s="82"/>
      <c r="G31" s="82"/>
      <c r="H31" s="82"/>
      <c r="I31" s="82"/>
      <c r="J31" s="82"/>
      <c r="K31" s="82"/>
      <c r="L31" s="83">
        <v>1000</v>
      </c>
      <c r="M31" s="83">
        <v>1000</v>
      </c>
      <c r="N31" s="83">
        <v>1000</v>
      </c>
      <c r="O31" s="83">
        <v>1000</v>
      </c>
    </row>
    <row r="32" spans="3:16" x14ac:dyDescent="0.25">
      <c r="C32" s="78" t="s">
        <v>150</v>
      </c>
      <c r="D32" s="79"/>
      <c r="E32" s="79"/>
      <c r="F32" s="80">
        <v>-200</v>
      </c>
      <c r="G32" s="80">
        <v>-200</v>
      </c>
      <c r="H32" s="80">
        <v>-200</v>
      </c>
      <c r="I32" s="80">
        <v>-200</v>
      </c>
      <c r="J32" s="80">
        <v>-200</v>
      </c>
      <c r="K32" s="80">
        <v>-200</v>
      </c>
      <c r="L32" s="80">
        <v>-200</v>
      </c>
      <c r="M32" s="80">
        <v>-200</v>
      </c>
      <c r="N32" s="80">
        <v>-200</v>
      </c>
      <c r="O32" s="80">
        <v>-200</v>
      </c>
    </row>
    <row r="33" spans="3:17" x14ac:dyDescent="0.25">
      <c r="C33" s="69"/>
      <c r="F33" s="70"/>
      <c r="G33" s="70"/>
      <c r="H33" s="70"/>
      <c r="I33" s="70"/>
      <c r="J33" s="70"/>
      <c r="K33" s="70"/>
      <c r="L33" s="70"/>
      <c r="M33" s="70"/>
      <c r="N33" s="70"/>
      <c r="O33" s="70"/>
    </row>
    <row r="34" spans="3:17" x14ac:dyDescent="0.25">
      <c r="C34" s="54" t="s">
        <v>151</v>
      </c>
      <c r="F34" s="67">
        <f>SUM(F27:F33)</f>
        <v>-2089</v>
      </c>
      <c r="G34" s="67">
        <f t="shared" ref="G34:O34" si="6">SUM(G27:G33)</f>
        <v>-2089</v>
      </c>
      <c r="H34" s="67">
        <f t="shared" si="6"/>
        <v>-2089</v>
      </c>
      <c r="I34" s="67">
        <f t="shared" si="6"/>
        <v>-2089</v>
      </c>
      <c r="J34" s="67">
        <f t="shared" si="6"/>
        <v>-2089</v>
      </c>
      <c r="K34" s="67">
        <f t="shared" si="6"/>
        <v>-2089</v>
      </c>
      <c r="L34" s="67">
        <f t="shared" si="6"/>
        <v>-1089</v>
      </c>
      <c r="M34" s="67">
        <f t="shared" si="6"/>
        <v>-1089</v>
      </c>
      <c r="N34" s="67">
        <f t="shared" si="6"/>
        <v>-1089</v>
      </c>
      <c r="O34" s="67">
        <f t="shared" si="6"/>
        <v>-1089</v>
      </c>
    </row>
    <row r="36" spans="3:17" x14ac:dyDescent="0.25">
      <c r="C36" s="75" t="s">
        <v>152</v>
      </c>
    </row>
    <row r="37" spans="3:17" x14ac:dyDescent="0.25">
      <c r="C37" s="54" t="s">
        <v>153</v>
      </c>
      <c r="N37" s="76">
        <v>1500</v>
      </c>
      <c r="O37" s="76">
        <v>1500</v>
      </c>
    </row>
    <row r="38" spans="3:17" x14ac:dyDescent="0.25">
      <c r="C38" s="54" t="s">
        <v>154</v>
      </c>
      <c r="F38" s="70"/>
      <c r="G38" s="70"/>
      <c r="H38" s="70"/>
      <c r="I38" s="70"/>
      <c r="J38" s="70"/>
      <c r="K38" s="70"/>
      <c r="L38" s="70"/>
      <c r="M38" s="70"/>
      <c r="N38" s="77"/>
      <c r="O38" s="77"/>
    </row>
    <row r="39" spans="3:17" x14ac:dyDescent="0.25">
      <c r="C39" s="54" t="s">
        <v>155</v>
      </c>
      <c r="F39" s="67">
        <f>SUM(F37:F38)</f>
        <v>0</v>
      </c>
      <c r="G39" s="67">
        <f t="shared" ref="G39:O39" si="7">SUM(G37:G38)</f>
        <v>0</v>
      </c>
      <c r="H39" s="67">
        <f t="shared" si="7"/>
        <v>0</v>
      </c>
      <c r="I39" s="67">
        <f t="shared" si="7"/>
        <v>0</v>
      </c>
      <c r="J39" s="67">
        <f t="shared" si="7"/>
        <v>0</v>
      </c>
      <c r="K39" s="67">
        <f t="shared" si="7"/>
        <v>0</v>
      </c>
      <c r="L39" s="67">
        <f t="shared" si="7"/>
        <v>0</v>
      </c>
      <c r="M39" s="67">
        <f t="shared" si="7"/>
        <v>0</v>
      </c>
      <c r="N39" s="67">
        <f t="shared" si="7"/>
        <v>1500</v>
      </c>
      <c r="O39" s="67">
        <f t="shared" si="7"/>
        <v>1500</v>
      </c>
    </row>
    <row r="41" spans="3:17" x14ac:dyDescent="0.25">
      <c r="C41" s="75" t="s">
        <v>156</v>
      </c>
      <c r="F41" s="67">
        <f>SUM(F34,F24,F16,F14,F39)</f>
        <v>-114</v>
      </c>
      <c r="G41" s="67">
        <f t="shared" ref="G41:O41" si="8">SUM(G34,G24,G16,G14,G39)</f>
        <v>5386</v>
      </c>
      <c r="H41" s="67">
        <f t="shared" si="8"/>
        <v>-1614</v>
      </c>
      <c r="I41" s="67">
        <f t="shared" si="8"/>
        <v>-5414</v>
      </c>
      <c r="J41" s="67">
        <f t="shared" si="8"/>
        <v>-6014</v>
      </c>
      <c r="K41" s="67">
        <f t="shared" si="8"/>
        <v>-4414</v>
      </c>
      <c r="L41" s="67">
        <f t="shared" si="8"/>
        <v>-564</v>
      </c>
      <c r="M41" s="67">
        <f t="shared" si="8"/>
        <v>6686</v>
      </c>
      <c r="N41" s="67">
        <f t="shared" si="8"/>
        <v>426</v>
      </c>
      <c r="O41" s="67">
        <f t="shared" si="8"/>
        <v>-2364</v>
      </c>
      <c r="P41" s="67">
        <f>SUM(F41:O41)</f>
        <v>-8000</v>
      </c>
      <c r="Q41" s="67"/>
    </row>
    <row r="43" spans="3:17" x14ac:dyDescent="0.25">
      <c r="C43" s="54" t="s">
        <v>157</v>
      </c>
      <c r="F43" s="76">
        <v>14500</v>
      </c>
      <c r="G43" s="67" t="e">
        <f>+Anspruchsvoraussetzung!#REF!</f>
        <v>#REF!</v>
      </c>
      <c r="H43" s="67" t="e">
        <f>+Anspruchsvoraussetzung!#REF!</f>
        <v>#REF!</v>
      </c>
      <c r="I43" s="67" t="e">
        <f>+Anspruchsvoraussetzung!#REF!</f>
        <v>#REF!</v>
      </c>
      <c r="J43" s="67" t="e">
        <f>+Anspruchsvoraussetzung!#REF!</f>
        <v>#REF!</v>
      </c>
      <c r="K43" s="67" t="e">
        <f>+Anspruchsvoraussetzung!#REF!</f>
        <v>#REF!</v>
      </c>
      <c r="L43" s="67">
        <f>+'Nachweis Sep bis Dez'!B19</f>
        <v>50000</v>
      </c>
      <c r="M43" s="67">
        <f>+'Nachweis Sep bis Dez'!D19</f>
        <v>50000</v>
      </c>
      <c r="N43" s="67">
        <f>+'Nachweis Sep bis Dez'!F19</f>
        <v>50000</v>
      </c>
      <c r="O43" s="67">
        <f>+'Nachweis Sep bis Dez'!H19</f>
        <v>50000</v>
      </c>
    </row>
    <row r="44" spans="3:17" x14ac:dyDescent="0.25">
      <c r="C44" s="54" t="s">
        <v>81</v>
      </c>
      <c r="F44" s="76">
        <v>0</v>
      </c>
      <c r="G44" s="67" t="e">
        <f>+Anspruchsvoraussetzung!#REF!</f>
        <v>#REF!</v>
      </c>
      <c r="H44" s="67" t="e">
        <f>+Anspruchsvoraussetzung!#REF!</f>
        <v>#REF!</v>
      </c>
      <c r="I44" s="67" t="e">
        <f>+Anspruchsvoraussetzung!#REF!</f>
        <v>#REF!</v>
      </c>
      <c r="J44" s="67" t="e">
        <f>+Anspruchsvoraussetzung!#REF!</f>
        <v>#REF!</v>
      </c>
      <c r="K44" s="67" t="e">
        <f>+Anspruchsvoraussetzung!#REF!</f>
        <v>#REF!</v>
      </c>
      <c r="L44" s="67">
        <f>+'Nachweis Sep bis Dez'!B20</f>
        <v>10000</v>
      </c>
      <c r="M44" s="67">
        <f>+'Nachweis Sep bis Dez'!D20</f>
        <v>10000</v>
      </c>
      <c r="N44" s="67">
        <f>+'Nachweis Sep bis Dez'!F20</f>
        <v>10000</v>
      </c>
      <c r="O44" s="67">
        <f>+'Nachweis Sep bis Dez'!H20</f>
        <v>10000</v>
      </c>
    </row>
    <row r="45" spans="3:17" x14ac:dyDescent="0.25">
      <c r="C45" s="54" t="s">
        <v>158</v>
      </c>
      <c r="F45" s="76">
        <v>1000</v>
      </c>
      <c r="G45" s="67" t="e">
        <f>+Anspruchsvoraussetzung!#REF!</f>
        <v>#REF!</v>
      </c>
      <c r="H45" s="67" t="e">
        <f>+Anspruchsvoraussetzung!#REF!</f>
        <v>#REF!</v>
      </c>
      <c r="I45" s="67" t="e">
        <f>+Anspruchsvoraussetzung!#REF!</f>
        <v>#REF!</v>
      </c>
      <c r="J45" s="67" t="e">
        <f>+Anspruchsvoraussetzung!#REF!</f>
        <v>#REF!</v>
      </c>
      <c r="K45" s="67" t="e">
        <f>+Anspruchsvoraussetzung!#REF!</f>
        <v>#REF!</v>
      </c>
      <c r="L45" s="67">
        <f>+'Nachweis Sep bis Dez'!B21</f>
        <v>500</v>
      </c>
      <c r="M45" s="67">
        <f>+'Nachweis Sep bis Dez'!D21</f>
        <v>500</v>
      </c>
      <c r="N45" s="67">
        <f>+'Nachweis Sep bis Dez'!F21</f>
        <v>500</v>
      </c>
      <c r="O45" s="67">
        <f>+'Nachweis Sep bis Dez'!H21</f>
        <v>500</v>
      </c>
    </row>
    <row r="46" spans="3:17" x14ac:dyDescent="0.25">
      <c r="C46" s="69" t="s">
        <v>83</v>
      </c>
      <c r="D46" s="70"/>
      <c r="E46" s="70"/>
      <c r="F46" s="77">
        <v>0</v>
      </c>
      <c r="G46" s="70" t="e">
        <f>+Anspruchsvoraussetzung!#REF!</f>
        <v>#REF!</v>
      </c>
      <c r="H46" s="70" t="e">
        <f>+Anspruchsvoraussetzung!#REF!</f>
        <v>#REF!</v>
      </c>
      <c r="I46" s="70" t="e">
        <f>+Anspruchsvoraussetzung!#REF!</f>
        <v>#REF!</v>
      </c>
      <c r="J46" s="70" t="e">
        <f>+Anspruchsvoraussetzung!#REF!</f>
        <v>#REF!</v>
      </c>
      <c r="K46" s="70" t="e">
        <f>+Anspruchsvoraussetzung!#REF!</f>
        <v>#REF!</v>
      </c>
      <c r="L46" s="70">
        <f>+'Nachweis Sep bis Dez'!B22</f>
        <v>-1000</v>
      </c>
      <c r="M46" s="70">
        <f>+'Nachweis Sep bis Dez'!D22</f>
        <v>-1000</v>
      </c>
      <c r="N46" s="70">
        <f>+'Nachweis Sep bis Dez'!F22</f>
        <v>-1000</v>
      </c>
      <c r="O46" s="70">
        <f>+'Nachweis Sep bis Dez'!H22</f>
        <v>-1000</v>
      </c>
    </row>
    <row r="47" spans="3:17" x14ac:dyDescent="0.25">
      <c r="C47" s="54" t="s">
        <v>159</v>
      </c>
      <c r="F47" s="67">
        <f>SUM(F43:F46)</f>
        <v>15500</v>
      </c>
      <c r="G47" s="67" t="e">
        <f t="shared" ref="G47:O47" si="9">SUM(G43:G46)</f>
        <v>#REF!</v>
      </c>
      <c r="H47" s="67" t="e">
        <f t="shared" si="9"/>
        <v>#REF!</v>
      </c>
      <c r="I47" s="67" t="e">
        <f t="shared" si="9"/>
        <v>#REF!</v>
      </c>
      <c r="J47" s="67" t="e">
        <f t="shared" si="9"/>
        <v>#REF!</v>
      </c>
      <c r="K47" s="67" t="e">
        <f t="shared" si="9"/>
        <v>#REF!</v>
      </c>
      <c r="L47" s="67">
        <f t="shared" si="9"/>
        <v>59500</v>
      </c>
      <c r="M47" s="67">
        <f t="shared" si="9"/>
        <v>59500</v>
      </c>
      <c r="N47" s="67">
        <f t="shared" si="9"/>
        <v>59500</v>
      </c>
      <c r="O47" s="67">
        <f t="shared" si="9"/>
        <v>59500</v>
      </c>
    </row>
    <row r="48" spans="3:17" x14ac:dyDescent="0.25">
      <c r="C48" s="54" t="s">
        <v>160</v>
      </c>
      <c r="F48" s="76">
        <v>10200</v>
      </c>
      <c r="G48" s="76" t="e">
        <f>+Anspruchsvoraussetzung!#REF!</f>
        <v>#REF!</v>
      </c>
      <c r="H48" s="76" t="e">
        <f>+Anspruchsvoraussetzung!#REF!</f>
        <v>#REF!</v>
      </c>
      <c r="I48" s="76" t="e">
        <f>+Anspruchsvoraussetzung!#REF!</f>
        <v>#REF!</v>
      </c>
      <c r="J48" s="76" t="e">
        <f>+Anspruchsvoraussetzung!#REF!</f>
        <v>#REF!</v>
      </c>
      <c r="K48" s="76" t="e">
        <f>+Anspruchsvoraussetzung!#REF!</f>
        <v>#REF!</v>
      </c>
      <c r="L48" s="76">
        <f>+'Nachweis Sep bis Dez'!B27</f>
        <v>15000</v>
      </c>
      <c r="M48" s="76">
        <f>+'Nachweis Sep bis Dez'!D27</f>
        <v>20000</v>
      </c>
      <c r="N48" s="76">
        <f>+'Nachweis Sep bis Dez'!F27</f>
        <v>40000</v>
      </c>
      <c r="O48" s="76">
        <f>+'Nachweis Sep bis Dez'!H27</f>
        <v>50000</v>
      </c>
    </row>
    <row r="49" spans="1:16" x14ac:dyDescent="0.25">
      <c r="C49" s="54" t="s">
        <v>81</v>
      </c>
      <c r="F49" s="76">
        <v>0</v>
      </c>
      <c r="G49" s="76" t="e">
        <f>+Anspruchsvoraussetzung!#REF!</f>
        <v>#REF!</v>
      </c>
      <c r="H49" s="76" t="e">
        <f>+Anspruchsvoraussetzung!#REF!</f>
        <v>#REF!</v>
      </c>
      <c r="I49" s="76" t="e">
        <f>+Anspruchsvoraussetzung!#REF!</f>
        <v>#REF!</v>
      </c>
      <c r="J49" s="76" t="e">
        <f>+Anspruchsvoraussetzung!#REF!</f>
        <v>#REF!</v>
      </c>
      <c r="K49" s="76" t="e">
        <f>+Anspruchsvoraussetzung!#REF!</f>
        <v>#REF!</v>
      </c>
      <c r="L49" s="76">
        <f>+'Nachweis Sep bis Dez'!B28</f>
        <v>0</v>
      </c>
      <c r="M49" s="76">
        <f>+'Nachweis Sep bis Dez'!D28</f>
        <v>0</v>
      </c>
      <c r="N49" s="76">
        <f>+'Nachweis Sep bis Dez'!F28</f>
        <v>0</v>
      </c>
      <c r="O49" s="76">
        <f>+'Nachweis Sep bis Dez'!H28</f>
        <v>0</v>
      </c>
    </row>
    <row r="50" spans="1:16" x14ac:dyDescent="0.25">
      <c r="C50" s="54" t="s">
        <v>158</v>
      </c>
      <c r="F50" s="76">
        <v>1000</v>
      </c>
      <c r="G50" s="76" t="e">
        <f>+Anspruchsvoraussetzung!#REF!</f>
        <v>#REF!</v>
      </c>
      <c r="H50" s="76" t="e">
        <f>+Anspruchsvoraussetzung!#REF!</f>
        <v>#REF!</v>
      </c>
      <c r="I50" s="76" t="e">
        <f>+Anspruchsvoraussetzung!#REF!</f>
        <v>#REF!</v>
      </c>
      <c r="J50" s="76" t="e">
        <f>+Anspruchsvoraussetzung!#REF!</f>
        <v>#REF!</v>
      </c>
      <c r="K50" s="76" t="e">
        <f>+Anspruchsvoraussetzung!#REF!</f>
        <v>#REF!</v>
      </c>
      <c r="L50" s="76">
        <f>+'Nachweis Sep bis Dez'!B29</f>
        <v>500</v>
      </c>
      <c r="M50" s="76">
        <f>+'Nachweis Sep bis Dez'!D29</f>
        <v>500</v>
      </c>
      <c r="N50" s="76">
        <f>+'Nachweis Sep bis Dez'!F29</f>
        <v>500</v>
      </c>
      <c r="O50" s="76">
        <f>+'Nachweis Sep bis Dez'!H29</f>
        <v>500</v>
      </c>
    </row>
    <row r="51" spans="1:16" x14ac:dyDescent="0.25">
      <c r="C51" s="69" t="s">
        <v>83</v>
      </c>
      <c r="D51" s="70"/>
      <c r="E51" s="70"/>
      <c r="F51" s="77">
        <v>0</v>
      </c>
      <c r="G51" s="76" t="e">
        <f>+Anspruchsvoraussetzung!#REF!</f>
        <v>#REF!</v>
      </c>
      <c r="H51" s="76" t="e">
        <f>+Anspruchsvoraussetzung!#REF!</f>
        <v>#REF!</v>
      </c>
      <c r="I51" s="76" t="e">
        <f>+Anspruchsvoraussetzung!#REF!</f>
        <v>#REF!</v>
      </c>
      <c r="J51" s="76" t="e">
        <f>+Anspruchsvoraussetzung!#REF!</f>
        <v>#REF!</v>
      </c>
      <c r="K51" s="76" t="e">
        <f>+Anspruchsvoraussetzung!#REF!</f>
        <v>#REF!</v>
      </c>
      <c r="L51" s="76">
        <f>+'Nachweis Sep bis Dez'!B30</f>
        <v>0</v>
      </c>
      <c r="M51" s="76">
        <f>+'Nachweis Sep bis Dez'!D30</f>
        <v>0</v>
      </c>
      <c r="N51" s="76">
        <f>+'Nachweis Sep bis Dez'!F30</f>
        <v>0</v>
      </c>
      <c r="O51" s="76">
        <f>+'Nachweis Sep bis Dez'!H30</f>
        <v>0</v>
      </c>
    </row>
    <row r="52" spans="1:16" x14ac:dyDescent="0.25">
      <c r="C52" s="54" t="s">
        <v>161</v>
      </c>
      <c r="F52" s="67">
        <f>+F48+146.5+140+721.6</f>
        <v>11208.1</v>
      </c>
      <c r="G52" s="67" t="e">
        <f t="shared" ref="G52:O52" si="10">+G48+146.5+140+721.6</f>
        <v>#REF!</v>
      </c>
      <c r="H52" s="67" t="e">
        <f t="shared" si="10"/>
        <v>#REF!</v>
      </c>
      <c r="I52" s="67" t="e">
        <f t="shared" si="10"/>
        <v>#REF!</v>
      </c>
      <c r="J52" s="67" t="e">
        <f t="shared" si="10"/>
        <v>#REF!</v>
      </c>
      <c r="K52" s="67" t="e">
        <f t="shared" si="10"/>
        <v>#REF!</v>
      </c>
      <c r="L52" s="67">
        <f t="shared" si="10"/>
        <v>16008.1</v>
      </c>
      <c r="M52" s="67">
        <f t="shared" si="10"/>
        <v>21008.1</v>
      </c>
      <c r="N52" s="67">
        <f t="shared" si="10"/>
        <v>41008.1</v>
      </c>
      <c r="O52" s="67">
        <f t="shared" si="10"/>
        <v>51008.1</v>
      </c>
    </row>
    <row r="53" spans="1:16" x14ac:dyDescent="0.25">
      <c r="C53" s="54" t="s">
        <v>162</v>
      </c>
      <c r="F53" s="67">
        <f>+F47-F52</f>
        <v>4291.8999999999996</v>
      </c>
      <c r="G53" s="67" t="e">
        <f t="shared" ref="G53:O53" si="11">+G47-G52</f>
        <v>#REF!</v>
      </c>
      <c r="H53" s="67" t="e">
        <f t="shared" si="11"/>
        <v>#REF!</v>
      </c>
      <c r="I53" s="67" t="e">
        <f t="shared" si="11"/>
        <v>#REF!</v>
      </c>
      <c r="J53" s="67" t="e">
        <f t="shared" si="11"/>
        <v>#REF!</v>
      </c>
      <c r="K53" s="67" t="e">
        <f t="shared" si="11"/>
        <v>#REF!</v>
      </c>
      <c r="L53" s="67">
        <f t="shared" si="11"/>
        <v>43491.9</v>
      </c>
      <c r="M53" s="67">
        <f t="shared" si="11"/>
        <v>38491.9</v>
      </c>
      <c r="N53" s="67">
        <f t="shared" si="11"/>
        <v>18491.900000000001</v>
      </c>
      <c r="O53" s="67">
        <f t="shared" si="11"/>
        <v>8491.9000000000015</v>
      </c>
    </row>
    <row r="54" spans="1:16" x14ac:dyDescent="0.25">
      <c r="C54" s="66" t="s">
        <v>13</v>
      </c>
      <c r="D54" s="65"/>
      <c r="E54" s="65"/>
      <c r="F54" s="84">
        <f>ROUND(F53/F47,4)</f>
        <v>0.27689999999999998</v>
      </c>
      <c r="G54" s="84" t="e">
        <f t="shared" ref="G54:O54" si="12">ROUND(G53/G47,4)</f>
        <v>#REF!</v>
      </c>
      <c r="H54" s="84" t="e">
        <f t="shared" si="12"/>
        <v>#REF!</v>
      </c>
      <c r="I54" s="84" t="e">
        <f t="shared" si="12"/>
        <v>#REF!</v>
      </c>
      <c r="J54" s="84" t="e">
        <f t="shared" si="12"/>
        <v>#REF!</v>
      </c>
      <c r="K54" s="84" t="e">
        <f t="shared" si="12"/>
        <v>#REF!</v>
      </c>
      <c r="L54" s="84">
        <f t="shared" si="12"/>
        <v>0.73099999999999998</v>
      </c>
      <c r="M54" s="84">
        <f t="shared" si="12"/>
        <v>0.64690000000000003</v>
      </c>
      <c r="N54" s="84">
        <f t="shared" si="12"/>
        <v>0.31080000000000002</v>
      </c>
      <c r="O54" s="84">
        <f t="shared" si="12"/>
        <v>0.14269999999999999</v>
      </c>
    </row>
    <row r="56" spans="1:16" x14ac:dyDescent="0.25">
      <c r="C56" s="54" t="s">
        <v>181</v>
      </c>
      <c r="F56" s="67">
        <f>IF(F54&lt;30%,0,(IF(F41&lt;0,F41,0)))</f>
        <v>0</v>
      </c>
      <c r="G56" s="67" t="e">
        <f t="shared" ref="G56:O56" si="13">IF(G54&lt;30%,0,(IF(G41&lt;0,G41,0)))</f>
        <v>#REF!</v>
      </c>
      <c r="H56" s="67" t="e">
        <f t="shared" si="13"/>
        <v>#REF!</v>
      </c>
      <c r="I56" s="67" t="e">
        <f t="shared" si="13"/>
        <v>#REF!</v>
      </c>
      <c r="J56" s="67" t="e">
        <f t="shared" si="13"/>
        <v>#REF!</v>
      </c>
      <c r="K56" s="67" t="e">
        <f t="shared" si="13"/>
        <v>#REF!</v>
      </c>
      <c r="L56" s="67">
        <f t="shared" si="13"/>
        <v>-564</v>
      </c>
      <c r="M56" s="67">
        <f t="shared" si="13"/>
        <v>0</v>
      </c>
      <c r="N56" s="67">
        <f t="shared" si="13"/>
        <v>0</v>
      </c>
      <c r="O56" s="67">
        <f t="shared" si="13"/>
        <v>0</v>
      </c>
      <c r="P56" s="67" t="e">
        <f>SUM(F56:O56)</f>
        <v>#REF!</v>
      </c>
    </row>
    <row r="58" spans="1:16" x14ac:dyDescent="0.25">
      <c r="C58" s="54" t="s">
        <v>164</v>
      </c>
      <c r="F58" s="85" t="e">
        <f t="shared" ref="F58:O58" si="14">IF($H$1="ja",90%,70%)</f>
        <v>#REF!</v>
      </c>
      <c r="G58" s="85" t="e">
        <f t="shared" si="14"/>
        <v>#REF!</v>
      </c>
      <c r="H58" s="85" t="e">
        <f t="shared" si="14"/>
        <v>#REF!</v>
      </c>
      <c r="I58" s="85" t="e">
        <f t="shared" si="14"/>
        <v>#REF!</v>
      </c>
      <c r="J58" s="85" t="e">
        <f t="shared" si="14"/>
        <v>#REF!</v>
      </c>
      <c r="K58" s="85" t="e">
        <f t="shared" si="14"/>
        <v>#REF!</v>
      </c>
      <c r="L58" s="85" t="e">
        <f t="shared" si="14"/>
        <v>#REF!</v>
      </c>
      <c r="M58" s="85" t="e">
        <f t="shared" si="14"/>
        <v>#REF!</v>
      </c>
      <c r="N58" s="85" t="e">
        <f t="shared" si="14"/>
        <v>#REF!</v>
      </c>
      <c r="O58" s="85" t="e">
        <f t="shared" si="14"/>
        <v>#REF!</v>
      </c>
      <c r="P58" s="85" t="e">
        <f>IF($H$1="ja",90%,70%)</f>
        <v>#REF!</v>
      </c>
    </row>
    <row r="59" spans="1:16" ht="15.75" thickBot="1" x14ac:dyDescent="0.3"/>
    <row r="60" spans="1:16" x14ac:dyDescent="0.25">
      <c r="A60" s="86"/>
      <c r="B60" s="87"/>
      <c r="C60" s="88" t="s">
        <v>165</v>
      </c>
      <c r="D60" s="89"/>
      <c r="E60" s="89"/>
      <c r="F60" s="89" t="e">
        <f t="shared" ref="F60:P60" si="15">ROUND(F56*F58,2)</f>
        <v>#REF!</v>
      </c>
      <c r="G60" s="89" t="e">
        <f t="shared" si="15"/>
        <v>#REF!</v>
      </c>
      <c r="H60" s="89" t="e">
        <f t="shared" si="15"/>
        <v>#REF!</v>
      </c>
      <c r="I60" s="89" t="e">
        <f t="shared" si="15"/>
        <v>#REF!</v>
      </c>
      <c r="J60" s="89" t="e">
        <f t="shared" si="15"/>
        <v>#REF!</v>
      </c>
      <c r="K60" s="89" t="e">
        <f t="shared" si="15"/>
        <v>#REF!</v>
      </c>
      <c r="L60" s="89" t="e">
        <f t="shared" si="15"/>
        <v>#REF!</v>
      </c>
      <c r="M60" s="89" t="e">
        <f t="shared" si="15"/>
        <v>#REF!</v>
      </c>
      <c r="N60" s="89" t="e">
        <f t="shared" si="15"/>
        <v>#REF!</v>
      </c>
      <c r="O60" s="89" t="e">
        <f t="shared" si="15"/>
        <v>#REF!</v>
      </c>
      <c r="P60" s="90" t="e">
        <f t="shared" si="15"/>
        <v>#REF!</v>
      </c>
    </row>
    <row r="61" spans="1:16" x14ac:dyDescent="0.25">
      <c r="A61" s="91"/>
      <c r="B61" s="92"/>
      <c r="C61" s="93" t="s">
        <v>166</v>
      </c>
      <c r="D61" s="94"/>
      <c r="E61" s="94"/>
      <c r="F61" s="94"/>
      <c r="G61" s="94"/>
      <c r="H61" s="94"/>
      <c r="I61" s="94"/>
      <c r="J61" s="94"/>
      <c r="K61" s="94"/>
      <c r="L61" s="94">
        <f t="shared" ref="L61:M61" si="16">IF(L64&gt;0,IF(L41&lt;0,0,ROUND(L41*L58,2)),0)</f>
        <v>0</v>
      </c>
      <c r="M61" s="94" t="e">
        <f t="shared" si="16"/>
        <v>#REF!</v>
      </c>
      <c r="N61" s="94" t="e">
        <f>IF(N64&gt;0,IF(N41&lt;0,0,ROUND(N41*N58,2)),0)</f>
        <v>#REF!</v>
      </c>
      <c r="O61" s="94">
        <f>IF(O64&gt;0,IF(O41&lt;0,0,ROUND(O41*O58,2)),0)</f>
        <v>0</v>
      </c>
      <c r="P61" s="95" t="e">
        <f>SUM(F61:O61)</f>
        <v>#REF!</v>
      </c>
    </row>
    <row r="62" spans="1:16" ht="15.75" thickBot="1" x14ac:dyDescent="0.3">
      <c r="A62" s="96"/>
      <c r="B62" s="97"/>
      <c r="C62" s="98" t="s">
        <v>165</v>
      </c>
      <c r="D62" s="99"/>
      <c r="E62" s="99"/>
      <c r="F62" s="100" t="e">
        <f>SUM(F60:F61)</f>
        <v>#REF!</v>
      </c>
      <c r="G62" s="100" t="e">
        <f t="shared" ref="G62:P62" si="17">SUM(G60:G61)</f>
        <v>#REF!</v>
      </c>
      <c r="H62" s="100" t="e">
        <f t="shared" si="17"/>
        <v>#REF!</v>
      </c>
      <c r="I62" s="100" t="e">
        <f t="shared" si="17"/>
        <v>#REF!</v>
      </c>
      <c r="J62" s="100" t="e">
        <f t="shared" si="17"/>
        <v>#REF!</v>
      </c>
      <c r="K62" s="100" t="e">
        <f t="shared" si="17"/>
        <v>#REF!</v>
      </c>
      <c r="L62" s="100" t="e">
        <f t="shared" si="17"/>
        <v>#REF!</v>
      </c>
      <c r="M62" s="100" t="e">
        <f t="shared" si="17"/>
        <v>#REF!</v>
      </c>
      <c r="N62" s="100" t="e">
        <f t="shared" si="17"/>
        <v>#REF!</v>
      </c>
      <c r="O62" s="100" t="e">
        <f t="shared" si="17"/>
        <v>#REF!</v>
      </c>
      <c r="P62" s="101" t="e">
        <f t="shared" si="17"/>
        <v>#REF!</v>
      </c>
    </row>
    <row r="63" spans="1:16" x14ac:dyDescent="0.25">
      <c r="A63" s="92"/>
      <c r="B63" s="92"/>
    </row>
    <row r="64" spans="1:16" x14ac:dyDescent="0.25">
      <c r="A64" s="92"/>
      <c r="B64" s="92"/>
      <c r="C64" s="54" t="s">
        <v>183</v>
      </c>
      <c r="L64" s="67">
        <f>+'Abrechnung Förderbeihilfe'!B25</f>
        <v>6750</v>
      </c>
      <c r="M64" s="67">
        <f>+'Abrechnung Förderbeihilfe'!D25</f>
        <v>6516</v>
      </c>
      <c r="N64" s="67">
        <f>+'Abrechnung Förderbeihilfe'!F25</f>
        <v>2768.64</v>
      </c>
      <c r="O64" s="67">
        <f>+'Abrechnung Förderbeihilfe'!H25</f>
        <v>0</v>
      </c>
      <c r="P64" s="67">
        <f>SUM(L64:O64)</f>
        <v>16034.64</v>
      </c>
    </row>
    <row r="65" spans="1:16" x14ac:dyDescent="0.25">
      <c r="A65" s="92"/>
      <c r="B65" s="92"/>
      <c r="C65" s="54" t="s">
        <v>182</v>
      </c>
    </row>
    <row r="66" spans="1:16" x14ac:dyDescent="0.25">
      <c r="A66" s="92"/>
      <c r="B66" s="92"/>
    </row>
    <row r="67" spans="1:16" x14ac:dyDescent="0.25">
      <c r="A67" s="92"/>
      <c r="B67" s="92"/>
    </row>
    <row r="68" spans="1:16" x14ac:dyDescent="0.25">
      <c r="A68" s="92"/>
      <c r="B68" s="92"/>
      <c r="C68" s="54" t="s">
        <v>168</v>
      </c>
      <c r="F68" s="70"/>
      <c r="G68" s="107"/>
      <c r="H68" s="107"/>
      <c r="I68" s="107"/>
      <c r="J68" s="107"/>
      <c r="K68" s="107"/>
      <c r="L68" s="107" t="e">
        <f>+IF(L64&gt;0,L62,0)</f>
        <v>#REF!</v>
      </c>
      <c r="M68" s="107" t="e">
        <f t="shared" ref="M68:O68" si="18">+IF(M64&gt;0,M62,0)</f>
        <v>#REF!</v>
      </c>
      <c r="N68" s="107" t="e">
        <f t="shared" si="18"/>
        <v>#REF!</v>
      </c>
      <c r="O68" s="107">
        <f t="shared" si="18"/>
        <v>0</v>
      </c>
      <c r="P68" s="107" t="e">
        <f>SUM(L68:O68)</f>
        <v>#REF!</v>
      </c>
    </row>
    <row r="69" spans="1:16" x14ac:dyDescent="0.25">
      <c r="A69" s="92"/>
      <c r="B69" s="92"/>
      <c r="C69" s="54" t="s">
        <v>169</v>
      </c>
      <c r="P69" s="67" t="e">
        <f>+P64+P68</f>
        <v>#REF!</v>
      </c>
    </row>
    <row r="70" spans="1:16" x14ac:dyDescent="0.25">
      <c r="A70" s="92"/>
      <c r="B70" s="92"/>
      <c r="C70" s="54" t="s">
        <v>170</v>
      </c>
      <c r="F70" s="70" t="e">
        <f>MAX(IF($P69&gt;F62,F62,$P69),-$P69)</f>
        <v>#REF!</v>
      </c>
      <c r="G70" s="70" t="e">
        <f>MAX(IF(($P69+$F70)&lt;G62,(-$P69-$F62),G62),-$P69-$F70)</f>
        <v>#REF!</v>
      </c>
      <c r="H70" s="70" t="e">
        <f>MAX(IF(($P69+$F70+$G70)&lt;H62,(-$P69-$F62-$G62),H62),-$P69-$F62-$G62-$H62)</f>
        <v>#REF!</v>
      </c>
      <c r="I70" s="70" t="e">
        <f>MAX(IF(($P69+$F70+$G70)+H70&lt;I62,(-$P69-$F62-§G56-$H62),I62),-$P69-$F70-$G70-$H70)</f>
        <v>#REF!</v>
      </c>
      <c r="J70" s="70" t="e">
        <f>MAX(IF(($P69+$F70+$G70+$H70)+I70&lt;J62,(-$P69-$F62-§G56-$H62-$I62),J62),-$P69-$F70-$G70-$H70-$I70)</f>
        <v>#REF!</v>
      </c>
      <c r="K70" s="70" t="e">
        <f>MAX(IF(($P69+$F70+$G70+$H70+$I70)+J70&lt;K62,(-$P69-$F62-§G56-$H62-$I62-$J62),K62),-$P69-$F70-$G70-$H70-$I70-$J70)</f>
        <v>#REF!</v>
      </c>
      <c r="L70" s="70">
        <f>IF(L64&gt;0,0,MAX(IF(($P69+$F70+$G70+$H70+$I70+J70)+K70&lt;L62,(-$P69-$F62-$G62-$H62-$I62-$J62-K62),L62),-$P69-$F70-$G70-$H70-$I70-$J70-K70))</f>
        <v>0</v>
      </c>
      <c r="M70" s="70"/>
      <c r="N70" s="70"/>
      <c r="O70" s="70"/>
      <c r="P70" s="70" t="e">
        <f>SUM(D70:O70)</f>
        <v>#REF!</v>
      </c>
    </row>
    <row r="71" spans="1:16" x14ac:dyDescent="0.25">
      <c r="A71" s="92"/>
      <c r="B71" s="92"/>
      <c r="C71" s="66" t="s">
        <v>171</v>
      </c>
      <c r="D71" s="65"/>
      <c r="E71" s="65"/>
      <c r="F71" s="65"/>
      <c r="G71" s="65"/>
      <c r="H71" s="65"/>
      <c r="I71" s="65"/>
      <c r="J71" s="65"/>
      <c r="K71" s="65"/>
      <c r="L71" s="65"/>
      <c r="M71" s="65"/>
      <c r="N71" s="65"/>
      <c r="O71" s="65"/>
      <c r="P71" s="65" t="e">
        <f>+P69+P70</f>
        <v>#REF!</v>
      </c>
    </row>
    <row r="72" spans="1:16" x14ac:dyDescent="0.25">
      <c r="A72" s="92"/>
      <c r="B72" s="92"/>
      <c r="C72" s="66" t="s">
        <v>172</v>
      </c>
      <c r="D72" s="65"/>
      <c r="E72" s="65"/>
      <c r="F72" s="65" t="e">
        <f>+F62-F68-F70</f>
        <v>#REF!</v>
      </c>
      <c r="G72" s="65" t="e">
        <f t="shared" ref="G72:O72" si="19">+G62-G68-G70</f>
        <v>#REF!</v>
      </c>
      <c r="H72" s="65" t="e">
        <f t="shared" si="19"/>
        <v>#REF!</v>
      </c>
      <c r="I72" s="65" t="e">
        <f t="shared" si="19"/>
        <v>#REF!</v>
      </c>
      <c r="J72" s="65" t="e">
        <f t="shared" si="19"/>
        <v>#REF!</v>
      </c>
      <c r="K72" s="65" t="e">
        <f t="shared" si="19"/>
        <v>#REF!</v>
      </c>
      <c r="L72" s="65" t="e">
        <f t="shared" si="19"/>
        <v>#REF!</v>
      </c>
      <c r="M72" s="65" t="e">
        <f t="shared" si="19"/>
        <v>#REF!</v>
      </c>
      <c r="N72" s="65" t="e">
        <f t="shared" si="19"/>
        <v>#REF!</v>
      </c>
      <c r="O72" s="65" t="e">
        <f t="shared" si="19"/>
        <v>#REF!</v>
      </c>
      <c r="P72" s="65" t="e">
        <f>SUM(F72:O72)</f>
        <v>#REF!</v>
      </c>
    </row>
    <row r="73" spans="1:16" x14ac:dyDescent="0.25">
      <c r="A73" s="92"/>
      <c r="B73" s="92"/>
    </row>
    <row r="74" spans="1:16" x14ac:dyDescent="0.25">
      <c r="A74" s="92"/>
      <c r="B74" s="92"/>
      <c r="P74" s="67" t="e">
        <f>+P68+P70-P71</f>
        <v>#REF!</v>
      </c>
    </row>
    <row r="75" spans="1:16" x14ac:dyDescent="0.25">
      <c r="A75" s="92"/>
      <c r="B75" s="92"/>
    </row>
    <row r="76" spans="1:16" x14ac:dyDescent="0.25">
      <c r="A76" s="92"/>
      <c r="B76" s="92"/>
    </row>
    <row r="77" spans="1:16" x14ac:dyDescent="0.25">
      <c r="A77" s="92"/>
      <c r="B77" s="92"/>
    </row>
    <row r="78" spans="1:16" x14ac:dyDescent="0.25">
      <c r="A78" s="92"/>
      <c r="B78" s="92"/>
    </row>
    <row r="79" spans="1:16" ht="15.75" thickBot="1" x14ac:dyDescent="0.3"/>
    <row r="80" spans="1:16" x14ac:dyDescent="0.25">
      <c r="C80" s="102" t="s">
        <v>173</v>
      </c>
      <c r="D80" s="103"/>
      <c r="E80" s="103"/>
      <c r="F80" s="104" t="s">
        <v>117</v>
      </c>
      <c r="G80" s="104" t="s">
        <v>118</v>
      </c>
      <c r="H80" s="104" t="s">
        <v>119</v>
      </c>
      <c r="I80" s="104" t="s">
        <v>120</v>
      </c>
      <c r="J80" s="104" t="s">
        <v>121</v>
      </c>
      <c r="K80" s="104" t="s">
        <v>122</v>
      </c>
      <c r="L80" s="104" t="s">
        <v>123</v>
      </c>
      <c r="M80" s="104" t="s">
        <v>124</v>
      </c>
      <c r="N80" s="104" t="s">
        <v>125</v>
      </c>
      <c r="O80" s="104" t="s">
        <v>126</v>
      </c>
      <c r="P80" s="105" t="s">
        <v>127</v>
      </c>
    </row>
    <row r="81" spans="3:16" x14ac:dyDescent="0.25">
      <c r="C81" s="106"/>
      <c r="D81" s="107"/>
      <c r="E81" s="107"/>
      <c r="F81" s="108"/>
      <c r="G81" s="108"/>
      <c r="H81" s="108"/>
      <c r="I81" s="108"/>
      <c r="J81" s="108"/>
      <c r="K81" s="108"/>
      <c r="L81" s="108"/>
      <c r="M81" s="108"/>
      <c r="N81" s="108"/>
      <c r="O81" s="108"/>
      <c r="P81" s="109"/>
    </row>
    <row r="82" spans="3:16" x14ac:dyDescent="0.25">
      <c r="C82" s="106"/>
      <c r="D82" s="107"/>
      <c r="E82" s="107"/>
      <c r="F82" s="108"/>
      <c r="G82" s="108"/>
      <c r="H82" s="108"/>
      <c r="I82" s="108"/>
      <c r="J82" s="108"/>
      <c r="K82" s="108"/>
      <c r="L82" s="108"/>
      <c r="M82" s="108"/>
      <c r="N82" s="108"/>
      <c r="O82" s="108"/>
      <c r="P82" s="109"/>
    </row>
    <row r="83" spans="3:16" x14ac:dyDescent="0.25">
      <c r="C83" s="91"/>
      <c r="D83" s="107"/>
      <c r="E83" s="107"/>
      <c r="F83" s="107"/>
      <c r="G83" s="107"/>
      <c r="H83" s="107"/>
      <c r="I83" s="107"/>
      <c r="J83" s="107"/>
      <c r="K83" s="107"/>
      <c r="L83" s="107"/>
      <c r="M83" s="107"/>
      <c r="N83" s="107"/>
      <c r="O83" s="107"/>
      <c r="P83" s="110"/>
    </row>
    <row r="84" spans="3:16" x14ac:dyDescent="0.25">
      <c r="C84" s="111" t="s">
        <v>174</v>
      </c>
      <c r="D84" s="107"/>
      <c r="E84" s="107"/>
      <c r="F84" s="107"/>
      <c r="G84" s="107"/>
      <c r="H84" s="107"/>
      <c r="I84" s="107"/>
      <c r="J84" s="107"/>
      <c r="K84" s="107"/>
      <c r="L84" s="107"/>
      <c r="M84" s="107"/>
      <c r="N84" s="107"/>
      <c r="O84" s="107"/>
      <c r="P84" s="110"/>
    </row>
    <row r="85" spans="3:16" x14ac:dyDescent="0.25">
      <c r="C85" s="91" t="s">
        <v>175</v>
      </c>
      <c r="D85" s="107"/>
      <c r="E85" s="107"/>
      <c r="F85" s="112"/>
      <c r="G85" s="112">
        <v>-6000</v>
      </c>
      <c r="H85" s="112">
        <v>3000</v>
      </c>
      <c r="I85" s="112">
        <v>3000</v>
      </c>
      <c r="J85" s="112"/>
      <c r="K85" s="107"/>
      <c r="L85" s="107"/>
      <c r="M85" s="107"/>
      <c r="N85" s="107"/>
      <c r="O85" s="107"/>
      <c r="P85" s="110">
        <f>SUM(F85:O85)</f>
        <v>0</v>
      </c>
    </row>
    <row r="86" spans="3:16" x14ac:dyDescent="0.25">
      <c r="C86" s="91" t="s">
        <v>176</v>
      </c>
      <c r="D86" s="107"/>
      <c r="E86" s="107"/>
      <c r="F86" s="107"/>
      <c r="G86" s="107"/>
      <c r="H86" s="107"/>
      <c r="I86" s="112">
        <v>1000</v>
      </c>
      <c r="J86" s="112">
        <v>4000</v>
      </c>
      <c r="K86" s="112">
        <v>4000</v>
      </c>
      <c r="L86" s="112"/>
      <c r="M86" s="112">
        <v>-9000</v>
      </c>
      <c r="N86" s="112"/>
      <c r="O86" s="112"/>
      <c r="P86" s="110">
        <f>SUM(F86:O86)</f>
        <v>0</v>
      </c>
    </row>
    <row r="87" spans="3:16" x14ac:dyDescent="0.25">
      <c r="C87" s="113" t="s">
        <v>153</v>
      </c>
      <c r="D87" s="70"/>
      <c r="E87" s="70"/>
      <c r="F87" s="70"/>
      <c r="G87" s="70"/>
      <c r="H87" s="70"/>
      <c r="I87" s="70"/>
      <c r="J87" s="70"/>
      <c r="K87" s="70"/>
      <c r="L87" s="70"/>
      <c r="M87" s="70"/>
      <c r="N87" s="70">
        <v>0</v>
      </c>
      <c r="O87" s="70">
        <v>0</v>
      </c>
      <c r="P87" s="114">
        <f>SUM(F87:O87)</f>
        <v>0</v>
      </c>
    </row>
    <row r="88" spans="3:16" x14ac:dyDescent="0.25">
      <c r="C88" s="91" t="s">
        <v>177</v>
      </c>
      <c r="D88" s="107"/>
      <c r="E88" s="107"/>
      <c r="F88" s="107">
        <f>SUM(F85:F87)</f>
        <v>0</v>
      </c>
      <c r="G88" s="107">
        <f t="shared" ref="G88:O88" si="20">SUM(G85:G87)</f>
        <v>-6000</v>
      </c>
      <c r="H88" s="107">
        <f t="shared" si="20"/>
        <v>3000</v>
      </c>
      <c r="I88" s="107">
        <f t="shared" si="20"/>
        <v>4000</v>
      </c>
      <c r="J88" s="107">
        <f t="shared" si="20"/>
        <v>4000</v>
      </c>
      <c r="K88" s="107">
        <f t="shared" si="20"/>
        <v>4000</v>
      </c>
      <c r="L88" s="107">
        <f t="shared" si="20"/>
        <v>0</v>
      </c>
      <c r="M88" s="107">
        <f t="shared" si="20"/>
        <v>-9000</v>
      </c>
      <c r="N88" s="107">
        <f t="shared" si="20"/>
        <v>0</v>
      </c>
      <c r="O88" s="107">
        <f t="shared" si="20"/>
        <v>0</v>
      </c>
      <c r="P88" s="110">
        <f>SUM(P85:P87)</f>
        <v>0</v>
      </c>
    </row>
    <row r="89" spans="3:16" x14ac:dyDescent="0.25">
      <c r="C89" s="91"/>
      <c r="D89" s="107"/>
      <c r="E89" s="107"/>
      <c r="F89" s="107"/>
      <c r="G89" s="107"/>
      <c r="H89" s="107"/>
      <c r="I89" s="107"/>
      <c r="J89" s="107"/>
      <c r="K89" s="107"/>
      <c r="L89" s="107"/>
      <c r="M89" s="107"/>
      <c r="N89" s="107"/>
      <c r="O89" s="107"/>
      <c r="P89" s="110"/>
    </row>
    <row r="90" spans="3:16" x14ac:dyDescent="0.25">
      <c r="C90" s="91" t="s">
        <v>178</v>
      </c>
      <c r="D90" s="107"/>
      <c r="E90" s="107"/>
      <c r="F90" s="107">
        <f t="shared" ref="F90:O90" si="21">+F41+F88</f>
        <v>-114</v>
      </c>
      <c r="G90" s="107">
        <f t="shared" si="21"/>
        <v>-614</v>
      </c>
      <c r="H90" s="107">
        <f t="shared" si="21"/>
        <v>1386</v>
      </c>
      <c r="I90" s="107">
        <f t="shared" si="21"/>
        <v>-1414</v>
      </c>
      <c r="J90" s="107">
        <f t="shared" si="21"/>
        <v>-2014</v>
      </c>
      <c r="K90" s="107">
        <f t="shared" si="21"/>
        <v>-414</v>
      </c>
      <c r="L90" s="107">
        <f t="shared" si="21"/>
        <v>-564</v>
      </c>
      <c r="M90" s="107">
        <f t="shared" si="21"/>
        <v>-2314</v>
      </c>
      <c r="N90" s="107">
        <f t="shared" si="21"/>
        <v>426</v>
      </c>
      <c r="O90" s="107">
        <f t="shared" si="21"/>
        <v>-2364</v>
      </c>
      <c r="P90" s="110"/>
    </row>
    <row r="91" spans="3:16" x14ac:dyDescent="0.25">
      <c r="C91" s="91"/>
      <c r="D91" s="107"/>
      <c r="E91" s="107"/>
      <c r="F91" s="107"/>
      <c r="G91" s="107"/>
      <c r="H91" s="107"/>
      <c r="I91" s="107"/>
      <c r="J91" s="107"/>
      <c r="K91" s="107"/>
      <c r="L91" s="107"/>
      <c r="M91" s="107"/>
      <c r="N91" s="107"/>
      <c r="O91" s="107"/>
      <c r="P91" s="110"/>
    </row>
    <row r="92" spans="3:16" x14ac:dyDescent="0.25">
      <c r="C92" s="91" t="s">
        <v>13</v>
      </c>
      <c r="D92" s="107"/>
      <c r="E92" s="107"/>
      <c r="F92" s="115">
        <f>+F54</f>
        <v>0.27689999999999998</v>
      </c>
      <c r="G92" s="115" t="e">
        <f t="shared" ref="G92:O92" si="22">+G54</f>
        <v>#REF!</v>
      </c>
      <c r="H92" s="115" t="e">
        <f t="shared" si="22"/>
        <v>#REF!</v>
      </c>
      <c r="I92" s="115" t="e">
        <f t="shared" si="22"/>
        <v>#REF!</v>
      </c>
      <c r="J92" s="115" t="e">
        <f t="shared" si="22"/>
        <v>#REF!</v>
      </c>
      <c r="K92" s="115" t="e">
        <f t="shared" si="22"/>
        <v>#REF!</v>
      </c>
      <c r="L92" s="115">
        <f t="shared" si="22"/>
        <v>0.73099999999999998</v>
      </c>
      <c r="M92" s="115">
        <f t="shared" si="22"/>
        <v>0.64690000000000003</v>
      </c>
      <c r="N92" s="115">
        <f t="shared" si="22"/>
        <v>0.31080000000000002</v>
      </c>
      <c r="O92" s="115">
        <f t="shared" si="22"/>
        <v>0.14269999999999999</v>
      </c>
      <c r="P92" s="110"/>
    </row>
    <row r="93" spans="3:16" x14ac:dyDescent="0.25">
      <c r="C93" s="91"/>
      <c r="D93" s="107"/>
      <c r="E93" s="107"/>
      <c r="F93" s="107"/>
      <c r="G93" s="107"/>
      <c r="H93" s="107"/>
      <c r="I93" s="107"/>
      <c r="J93" s="107"/>
      <c r="K93" s="107"/>
      <c r="L93" s="107"/>
      <c r="M93" s="107"/>
      <c r="N93" s="107"/>
      <c r="O93" s="107"/>
      <c r="P93" s="110"/>
    </row>
    <row r="94" spans="3:16" x14ac:dyDescent="0.25">
      <c r="C94" s="91" t="s">
        <v>163</v>
      </c>
      <c r="D94" s="107"/>
      <c r="E94" s="107"/>
      <c r="F94" s="107">
        <f>IF(F92&lt;30%,0,(IF(F90&lt;0,F90,0)))</f>
        <v>0</v>
      </c>
      <c r="G94" s="107" t="e">
        <f t="shared" ref="G94:O94" si="23">IF(G92&lt;30%,0,(IF(G90&lt;0,G90,0)))</f>
        <v>#REF!</v>
      </c>
      <c r="H94" s="107" t="e">
        <f t="shared" si="23"/>
        <v>#REF!</v>
      </c>
      <c r="I94" s="107" t="e">
        <f t="shared" si="23"/>
        <v>#REF!</v>
      </c>
      <c r="J94" s="107" t="e">
        <f t="shared" si="23"/>
        <v>#REF!</v>
      </c>
      <c r="K94" s="107" t="e">
        <f t="shared" si="23"/>
        <v>#REF!</v>
      </c>
      <c r="L94" s="107">
        <f t="shared" si="23"/>
        <v>-564</v>
      </c>
      <c r="M94" s="107">
        <f t="shared" si="23"/>
        <v>-2314</v>
      </c>
      <c r="N94" s="107">
        <f t="shared" si="23"/>
        <v>0</v>
      </c>
      <c r="O94" s="107">
        <f t="shared" si="23"/>
        <v>0</v>
      </c>
      <c r="P94" s="110" t="e">
        <f>SUM(F94:O94)</f>
        <v>#REF!</v>
      </c>
    </row>
    <row r="95" spans="3:16" x14ac:dyDescent="0.25">
      <c r="C95" s="91"/>
      <c r="D95" s="107"/>
      <c r="E95" s="107"/>
      <c r="F95" s="107"/>
      <c r="G95" s="107"/>
      <c r="H95" s="107"/>
      <c r="I95" s="107"/>
      <c r="J95" s="107"/>
      <c r="K95" s="107"/>
      <c r="L95" s="107"/>
      <c r="M95" s="107"/>
      <c r="N95" s="107"/>
      <c r="O95" s="107"/>
      <c r="P95" s="110"/>
    </row>
    <row r="96" spans="3:16" x14ac:dyDescent="0.25">
      <c r="C96" s="91" t="s">
        <v>164</v>
      </c>
      <c r="D96" s="107"/>
      <c r="E96" s="107"/>
      <c r="F96" s="115" t="e">
        <f t="shared" ref="F96:O96" si="24">IF($H$1="ja",90%,70%)</f>
        <v>#REF!</v>
      </c>
      <c r="G96" s="115" t="e">
        <f t="shared" si="24"/>
        <v>#REF!</v>
      </c>
      <c r="H96" s="115" t="e">
        <f t="shared" si="24"/>
        <v>#REF!</v>
      </c>
      <c r="I96" s="115" t="e">
        <f t="shared" si="24"/>
        <v>#REF!</v>
      </c>
      <c r="J96" s="115" t="e">
        <f t="shared" si="24"/>
        <v>#REF!</v>
      </c>
      <c r="K96" s="115" t="e">
        <f t="shared" si="24"/>
        <v>#REF!</v>
      </c>
      <c r="L96" s="115" t="e">
        <f t="shared" si="24"/>
        <v>#REF!</v>
      </c>
      <c r="M96" s="115" t="e">
        <f t="shared" si="24"/>
        <v>#REF!</v>
      </c>
      <c r="N96" s="115" t="e">
        <f t="shared" si="24"/>
        <v>#REF!</v>
      </c>
      <c r="O96" s="115" t="e">
        <f t="shared" si="24"/>
        <v>#REF!</v>
      </c>
      <c r="P96" s="116" t="e">
        <f>IF($H$1="ja",90%,70%)</f>
        <v>#REF!</v>
      </c>
    </row>
    <row r="97" spans="3:16" ht="15.75" thickBot="1" x14ac:dyDescent="0.3">
      <c r="C97" s="91"/>
      <c r="D97" s="107"/>
      <c r="E97" s="107"/>
      <c r="F97" s="107"/>
      <c r="G97" s="107"/>
      <c r="H97" s="107"/>
      <c r="I97" s="107"/>
      <c r="J97" s="107"/>
      <c r="K97" s="107"/>
      <c r="L97" s="107"/>
      <c r="M97" s="107"/>
      <c r="N97" s="107"/>
      <c r="O97" s="107"/>
      <c r="P97" s="110"/>
    </row>
    <row r="98" spans="3:16" x14ac:dyDescent="0.25">
      <c r="C98" s="117" t="s">
        <v>179</v>
      </c>
      <c r="D98" s="103"/>
      <c r="E98" s="103"/>
      <c r="F98" s="118" t="e">
        <f t="shared" ref="F98:N98" si="25">ROUND(F94*F96,2)</f>
        <v>#REF!</v>
      </c>
      <c r="G98" s="118" t="e">
        <f t="shared" si="25"/>
        <v>#REF!</v>
      </c>
      <c r="H98" s="118" t="e">
        <f t="shared" si="25"/>
        <v>#REF!</v>
      </c>
      <c r="I98" s="118" t="e">
        <f t="shared" si="25"/>
        <v>#REF!</v>
      </c>
      <c r="J98" s="118" t="e">
        <f t="shared" si="25"/>
        <v>#REF!</v>
      </c>
      <c r="K98" s="118" t="e">
        <f t="shared" si="25"/>
        <v>#REF!</v>
      </c>
      <c r="L98" s="118" t="e">
        <f t="shared" si="25"/>
        <v>#REF!</v>
      </c>
      <c r="M98" s="118" t="e">
        <f t="shared" si="25"/>
        <v>#REF!</v>
      </c>
      <c r="N98" s="118" t="e">
        <f t="shared" si="25"/>
        <v>#REF!</v>
      </c>
      <c r="O98" s="118" t="e">
        <f>ROUND(O94*O96,2)</f>
        <v>#REF!</v>
      </c>
      <c r="P98" s="119" t="e">
        <f>ROUND(P94*P96,2)</f>
        <v>#REF!</v>
      </c>
    </row>
    <row r="99" spans="3:16" x14ac:dyDescent="0.25">
      <c r="C99" s="120" t="s">
        <v>166</v>
      </c>
      <c r="D99" s="107"/>
      <c r="E99" s="107"/>
      <c r="F99" s="121"/>
      <c r="G99" s="121"/>
      <c r="H99" s="121"/>
      <c r="I99" s="121"/>
      <c r="J99" s="121"/>
      <c r="K99" s="121"/>
      <c r="L99" s="94">
        <f>IF(L104&gt;0,IF(L90&lt;0,0,ROUND(L90*L96,2)),0)</f>
        <v>0</v>
      </c>
      <c r="M99" s="94">
        <f t="shared" ref="M99:O99" si="26">IF(M104&gt;0,IF(M90&lt;0,0,ROUND(M90*M96,2)),0)</f>
        <v>0</v>
      </c>
      <c r="N99" s="94" t="e">
        <f t="shared" si="26"/>
        <v>#REF!</v>
      </c>
      <c r="O99" s="94">
        <f t="shared" si="26"/>
        <v>0</v>
      </c>
      <c r="P99" s="95" t="e">
        <f>SUM(F99:O99)</f>
        <v>#REF!</v>
      </c>
    </row>
    <row r="100" spans="3:16" ht="15.75" thickBot="1" x14ac:dyDescent="0.3">
      <c r="C100" s="98" t="s">
        <v>165</v>
      </c>
      <c r="D100" s="99"/>
      <c r="E100" s="99"/>
      <c r="F100" s="100" t="e">
        <f>SUM(F98:F99)</f>
        <v>#REF!</v>
      </c>
      <c r="G100" s="100" t="e">
        <f t="shared" ref="G100:P100" si="27">SUM(G98:G99)</f>
        <v>#REF!</v>
      </c>
      <c r="H100" s="100" t="e">
        <f t="shared" si="27"/>
        <v>#REF!</v>
      </c>
      <c r="I100" s="100" t="e">
        <f t="shared" si="27"/>
        <v>#REF!</v>
      </c>
      <c r="J100" s="100" t="e">
        <f t="shared" si="27"/>
        <v>#REF!</v>
      </c>
      <c r="K100" s="100" t="e">
        <f t="shared" si="27"/>
        <v>#REF!</v>
      </c>
      <c r="L100" s="100" t="e">
        <f t="shared" si="27"/>
        <v>#REF!</v>
      </c>
      <c r="M100" s="100" t="e">
        <f t="shared" si="27"/>
        <v>#REF!</v>
      </c>
      <c r="N100" s="100" t="e">
        <f t="shared" si="27"/>
        <v>#REF!</v>
      </c>
      <c r="O100" s="100" t="e">
        <f t="shared" si="27"/>
        <v>#REF!</v>
      </c>
      <c r="P100" s="101" t="e">
        <f t="shared" si="27"/>
        <v>#REF!</v>
      </c>
    </row>
    <row r="101" spans="3:16" x14ac:dyDescent="0.25">
      <c r="C101" s="91"/>
      <c r="D101" s="107"/>
      <c r="E101" s="107"/>
      <c r="F101" s="107"/>
      <c r="G101" s="107"/>
      <c r="H101" s="107"/>
      <c r="I101" s="107"/>
      <c r="J101" s="107"/>
      <c r="K101" s="107"/>
      <c r="L101" s="107"/>
      <c r="M101" s="107"/>
      <c r="N101" s="107"/>
      <c r="O101" s="107"/>
      <c r="P101" s="110"/>
    </row>
    <row r="102" spans="3:16" ht="15.75" thickBot="1" x14ac:dyDescent="0.3">
      <c r="C102" s="122" t="s">
        <v>180</v>
      </c>
      <c r="D102" s="123"/>
      <c r="E102" s="123"/>
      <c r="F102" s="123" t="e">
        <f t="shared" ref="F102:O102" si="28">+F98-F60</f>
        <v>#REF!</v>
      </c>
      <c r="G102" s="123" t="e">
        <f t="shared" si="28"/>
        <v>#REF!</v>
      </c>
      <c r="H102" s="123" t="e">
        <f t="shared" si="28"/>
        <v>#REF!</v>
      </c>
      <c r="I102" s="123" t="e">
        <f t="shared" si="28"/>
        <v>#REF!</v>
      </c>
      <c r="J102" s="123" t="e">
        <f t="shared" si="28"/>
        <v>#REF!</v>
      </c>
      <c r="K102" s="123" t="e">
        <f t="shared" si="28"/>
        <v>#REF!</v>
      </c>
      <c r="L102" s="123" t="e">
        <f t="shared" si="28"/>
        <v>#REF!</v>
      </c>
      <c r="M102" s="123" t="e">
        <f t="shared" si="28"/>
        <v>#REF!</v>
      </c>
      <c r="N102" s="123" t="e">
        <f t="shared" si="28"/>
        <v>#REF!</v>
      </c>
      <c r="O102" s="123" t="e">
        <f t="shared" si="28"/>
        <v>#REF!</v>
      </c>
      <c r="P102" s="124" t="e">
        <f>+P98-P62</f>
        <v>#REF!</v>
      </c>
    </row>
    <row r="104" spans="3:16" x14ac:dyDescent="0.25">
      <c r="C104" s="54" t="s">
        <v>167</v>
      </c>
      <c r="L104" s="67">
        <f>+L64</f>
        <v>6750</v>
      </c>
      <c r="M104" s="67">
        <f>+M64</f>
        <v>6516</v>
      </c>
      <c r="N104" s="67">
        <f>+N64</f>
        <v>2768.64</v>
      </c>
      <c r="O104" s="67">
        <f>+O64</f>
        <v>0</v>
      </c>
      <c r="P104" s="67">
        <f>SUM(L104:O104)</f>
        <v>16034.64</v>
      </c>
    </row>
    <row r="105" spans="3:16" x14ac:dyDescent="0.25">
      <c r="C105" s="54" t="s">
        <v>168</v>
      </c>
      <c r="F105" s="70"/>
      <c r="G105" s="70"/>
      <c r="H105" s="70"/>
      <c r="I105" s="70"/>
      <c r="J105" s="70"/>
      <c r="K105" s="70"/>
      <c r="L105" s="70" t="e">
        <f>+IF(L104&gt;0,L100,0)</f>
        <v>#REF!</v>
      </c>
      <c r="M105" s="70" t="e">
        <f t="shared" ref="M105:O105" si="29">+IF(M104&gt;0,M100,0)</f>
        <v>#REF!</v>
      </c>
      <c r="N105" s="70" t="e">
        <f t="shared" si="29"/>
        <v>#REF!</v>
      </c>
      <c r="O105" s="70">
        <f t="shared" si="29"/>
        <v>0</v>
      </c>
      <c r="P105" s="70" t="e">
        <f>SUM(L105:O105)</f>
        <v>#REF!</v>
      </c>
    </row>
    <row r="106" spans="3:16" x14ac:dyDescent="0.25">
      <c r="C106" s="54" t="s">
        <v>169</v>
      </c>
      <c r="P106" s="67" t="e">
        <f>+P104+P105</f>
        <v>#REF!</v>
      </c>
    </row>
    <row r="107" spans="3:16" x14ac:dyDescent="0.25">
      <c r="C107" s="54" t="s">
        <v>170</v>
      </c>
      <c r="F107" s="70" t="e">
        <f>MAX(IF($P106&gt;F100,F100,$P106),-$P106)</f>
        <v>#REF!</v>
      </c>
      <c r="G107" s="70" t="e">
        <f>MAX(IF(($P106+$F107)&lt;G100,(-$P106-$F100),G100),-$P106-$F107)</f>
        <v>#REF!</v>
      </c>
      <c r="H107" s="70" t="e">
        <f>MAX(IF(($P106+$F107+$G107)&lt;H102,(-$P106-$F100-$G100),-$H100),-$P106-$F107-$G107)</f>
        <v>#REF!</v>
      </c>
      <c r="I107" s="70" t="e">
        <f>MAX(IF(($P106+$F107+$G107)+H107&lt;I100,(-$P106-$F100-§G89-$H100),$I100),-$P106-$F107-$G107-$H107)</f>
        <v>#REF!</v>
      </c>
      <c r="J107" s="70" t="e">
        <f>MAX(IF(($P106+$F107+$G107+$H107)+I107&lt;J100,(-$P106-$F100-§G89-$H100-$I100),J100),-$P106-$F107-$G107-$H107-$I107)</f>
        <v>#REF!</v>
      </c>
      <c r="K107" s="70" t="e">
        <f>MAX(IF(($P106+$F107+$G107+$H107+$I107)+J107&lt;K100,(-$P106-$F100-$G100-$H100-$I100-$J100),K100),-$P106-$F107-$G107-$H107-$I107-$J107)</f>
        <v>#REF!</v>
      </c>
      <c r="L107" s="70"/>
      <c r="M107" s="70"/>
      <c r="N107" s="70"/>
      <c r="O107" s="70"/>
      <c r="P107" s="70" t="e">
        <f>SUM(D107:O107)</f>
        <v>#REF!</v>
      </c>
    </row>
    <row r="108" spans="3:16" x14ac:dyDescent="0.25">
      <c r="C108" s="66" t="s">
        <v>171</v>
      </c>
      <c r="D108" s="65"/>
      <c r="E108" s="65"/>
      <c r="F108" s="65"/>
      <c r="G108" s="65"/>
      <c r="H108" s="65"/>
      <c r="I108" s="65"/>
      <c r="J108" s="65"/>
      <c r="K108" s="65"/>
      <c r="L108" s="65"/>
      <c r="M108" s="65"/>
      <c r="N108" s="65"/>
      <c r="O108" s="65"/>
      <c r="P108" s="65" t="e">
        <f>+P106+P107</f>
        <v>#REF!</v>
      </c>
    </row>
    <row r="109" spans="3:16" x14ac:dyDescent="0.25">
      <c r="C109" s="66" t="s">
        <v>172</v>
      </c>
      <c r="D109" s="65"/>
      <c r="E109" s="65"/>
      <c r="F109" s="65" t="e">
        <f>+F100-F105-F107</f>
        <v>#REF!</v>
      </c>
      <c r="G109" s="65" t="e">
        <f t="shared" ref="G109:O109" si="30">+G100-G105-G107</f>
        <v>#REF!</v>
      </c>
      <c r="H109" s="65" t="e">
        <f t="shared" si="30"/>
        <v>#REF!</v>
      </c>
      <c r="I109" s="65" t="e">
        <f t="shared" si="30"/>
        <v>#REF!</v>
      </c>
      <c r="J109" s="65" t="e">
        <f t="shared" si="30"/>
        <v>#REF!</v>
      </c>
      <c r="K109" s="65" t="e">
        <f t="shared" si="30"/>
        <v>#REF!</v>
      </c>
      <c r="L109" s="65" t="e">
        <f t="shared" si="30"/>
        <v>#REF!</v>
      </c>
      <c r="M109" s="65" t="e">
        <f t="shared" si="30"/>
        <v>#REF!</v>
      </c>
      <c r="N109" s="65" t="e">
        <f t="shared" si="30"/>
        <v>#REF!</v>
      </c>
      <c r="O109" s="65" t="e">
        <f t="shared" si="30"/>
        <v>#REF!</v>
      </c>
      <c r="P109" s="65" t="e">
        <f>SUM(F109:O109)</f>
        <v>#REF!</v>
      </c>
    </row>
    <row r="110" spans="3:16" x14ac:dyDescent="0.25">
      <c r="D110" s="54"/>
      <c r="E110" s="54"/>
      <c r="F110" s="54"/>
      <c r="G110" s="54"/>
      <c r="H110" s="54"/>
      <c r="I110" s="54"/>
      <c r="J110" s="54"/>
      <c r="K110" s="54"/>
      <c r="L110" s="54"/>
      <c r="M110" s="54"/>
      <c r="N110" s="54"/>
      <c r="O110" s="54"/>
      <c r="P110" s="54"/>
    </row>
    <row r="111" spans="3:16" x14ac:dyDescent="0.25">
      <c r="D111" s="54"/>
      <c r="E111" s="54"/>
      <c r="F111" s="54"/>
      <c r="G111" s="54"/>
      <c r="H111" s="54"/>
      <c r="I111" s="54"/>
      <c r="J111" s="54"/>
      <c r="K111" s="54"/>
      <c r="L111" s="54"/>
      <c r="M111" s="54"/>
      <c r="N111" s="54"/>
      <c r="O111" s="54"/>
    </row>
    <row r="112" spans="3:16" x14ac:dyDescent="0.25">
      <c r="D112" s="54"/>
      <c r="E112" s="54"/>
      <c r="F112" s="54"/>
      <c r="G112" s="54"/>
      <c r="H112" s="54"/>
      <c r="I112" s="54"/>
      <c r="J112" s="54"/>
      <c r="K112" s="54"/>
      <c r="L112" s="54"/>
      <c r="M112" s="54"/>
      <c r="N112" s="54"/>
      <c r="O112" s="54"/>
      <c r="P112" s="54"/>
    </row>
    <row r="115" spans="3:16" x14ac:dyDescent="0.25">
      <c r="C115" s="66"/>
    </row>
    <row r="118" spans="3:16" x14ac:dyDescent="0.25">
      <c r="L118" s="54"/>
      <c r="M118" s="54"/>
      <c r="N118" s="54"/>
      <c r="O118" s="54"/>
      <c r="P118" s="54"/>
    </row>
    <row r="122" spans="3:16" x14ac:dyDescent="0.25">
      <c r="P122" s="54"/>
    </row>
    <row r="126" spans="3:16" x14ac:dyDescent="0.25">
      <c r="D126" s="54"/>
      <c r="E126" s="54"/>
      <c r="F126" s="54"/>
      <c r="G126" s="54"/>
      <c r="H126" s="54"/>
      <c r="I126" s="54"/>
      <c r="J126" s="54"/>
      <c r="K126" s="54"/>
      <c r="L126" s="54"/>
      <c r="M126" s="54"/>
      <c r="N126" s="54"/>
      <c r="O126" s="54"/>
      <c r="P126" s="54"/>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1"/>
  <sheetViews>
    <sheetView workbookViewId="0">
      <selection activeCell="A33" sqref="A33"/>
    </sheetView>
  </sheetViews>
  <sheetFormatPr baseColWidth="10" defaultColWidth="11.42578125" defaultRowHeight="15" x14ac:dyDescent="0.2"/>
  <cols>
    <col min="1" max="1" width="42.140625" style="10" customWidth="1"/>
    <col min="2" max="2" width="15.85546875" style="10" customWidth="1"/>
    <col min="3" max="3" width="6.7109375" style="10" customWidth="1"/>
    <col min="4" max="4" width="15.28515625" style="10" customWidth="1"/>
    <col min="5" max="5" width="6.7109375" style="10" customWidth="1"/>
    <col min="6" max="6" width="15.28515625" style="10" customWidth="1"/>
    <col min="7" max="7" width="6.7109375" style="10" customWidth="1"/>
    <col min="8" max="8" width="17" style="10" customWidth="1"/>
    <col min="9" max="9" width="11.42578125" style="10"/>
    <col min="10" max="10" width="14.7109375" style="10" bestFit="1" customWidth="1"/>
    <col min="11" max="11" width="28.140625" style="10" customWidth="1"/>
    <col min="12" max="16384" width="11.42578125" style="10"/>
  </cols>
  <sheetData>
    <row r="1" spans="1:11" x14ac:dyDescent="0.2">
      <c r="A1" s="1" t="s">
        <v>0</v>
      </c>
      <c r="B1" s="2"/>
      <c r="C1" s="2"/>
      <c r="D1" s="2"/>
      <c r="E1" s="2"/>
      <c r="F1" s="2"/>
      <c r="G1" s="2"/>
      <c r="H1" s="2"/>
      <c r="I1" s="2"/>
      <c r="J1" s="3" t="s">
        <v>1</v>
      </c>
      <c r="K1" s="35" t="e">
        <f>+Anspruchsvoraussetzung!#REF!</f>
        <v>#REF!</v>
      </c>
    </row>
    <row r="2" spans="1:11" x14ac:dyDescent="0.2">
      <c r="A2" s="4" t="s">
        <v>101</v>
      </c>
      <c r="B2" s="2"/>
      <c r="C2" s="2"/>
      <c r="D2" s="2"/>
      <c r="E2" s="2"/>
      <c r="F2" s="2"/>
      <c r="G2" s="2"/>
      <c r="H2" s="2"/>
      <c r="I2" s="2"/>
      <c r="J2" s="3" t="s">
        <v>2</v>
      </c>
      <c r="K2" s="35" t="e">
        <f>+Anspruchsvoraussetzung!#REF!</f>
        <v>#REF!</v>
      </c>
    </row>
    <row r="3" spans="1:11" x14ac:dyDescent="0.2">
      <c r="A3" s="4"/>
      <c r="B3" s="2"/>
      <c r="C3" s="2"/>
      <c r="D3" s="2"/>
      <c r="E3" s="2"/>
      <c r="F3" s="2"/>
      <c r="G3" s="2"/>
      <c r="H3" s="3"/>
      <c r="I3" s="2"/>
      <c r="J3" s="3" t="s">
        <v>3</v>
      </c>
      <c r="K3" s="35" t="e">
        <f>+Anspruchsvoraussetzung!#REF!</f>
        <v>#REF!</v>
      </c>
    </row>
    <row r="5" spans="1:11" x14ac:dyDescent="0.2">
      <c r="A5" s="5"/>
      <c r="B5" s="6"/>
      <c r="C5" s="6"/>
      <c r="D5" s="6"/>
      <c r="E5" s="6"/>
      <c r="F5" s="6"/>
      <c r="G5" s="6"/>
      <c r="H5" s="6"/>
      <c r="I5" s="6"/>
      <c r="J5" s="6"/>
      <c r="K5" s="6"/>
    </row>
    <row r="8" spans="1:11" ht="15.75" x14ac:dyDescent="0.25">
      <c r="B8" s="12">
        <v>44075</v>
      </c>
      <c r="C8" s="12"/>
      <c r="D8" s="12">
        <v>44105</v>
      </c>
      <c r="E8" s="12"/>
      <c r="F8" s="12">
        <v>44136</v>
      </c>
      <c r="G8" s="11"/>
      <c r="H8" s="12">
        <v>44166</v>
      </c>
      <c r="J8" s="10" t="s">
        <v>67</v>
      </c>
    </row>
    <row r="10" spans="1:11" x14ac:dyDescent="0.2">
      <c r="A10" s="10" t="s">
        <v>55</v>
      </c>
      <c r="B10" s="29">
        <f>+'Nachweis Sep bis Dez'!B33</f>
        <v>0.73949579831932777</v>
      </c>
      <c r="D10" s="29">
        <f>+'Nachweis Sep bis Dez'!D33</f>
        <v>0.65546218487394958</v>
      </c>
      <c r="E10" s="29"/>
      <c r="F10" s="29">
        <f>+'Nachweis Sep bis Dez'!F33</f>
        <v>0.31932773109243695</v>
      </c>
      <c r="H10" s="29">
        <f>+'Nachweis Sep bis Dez'!H33</f>
        <v>0.15126050420168066</v>
      </c>
    </row>
    <row r="11" spans="1:11" x14ac:dyDescent="0.2">
      <c r="B11" s="29"/>
      <c r="D11" s="29"/>
      <c r="E11" s="29"/>
      <c r="F11" s="29"/>
      <c r="H11" s="29"/>
    </row>
    <row r="12" spans="1:11" x14ac:dyDescent="0.2">
      <c r="A12" s="11" t="s">
        <v>14</v>
      </c>
      <c r="B12" s="29">
        <f>+'Nachweis Sep bis Dez'!B35</f>
        <v>0.9</v>
      </c>
      <c r="D12" s="29">
        <f>+'Nachweis Sep bis Dez'!D35</f>
        <v>0.6</v>
      </c>
      <c r="E12" s="29"/>
      <c r="F12" s="29">
        <f>+'Nachweis Sep bis Dez'!F35</f>
        <v>0.4</v>
      </c>
      <c r="H12" s="29">
        <f>+'Nachweis Sep bis Dez'!H35</f>
        <v>0</v>
      </c>
    </row>
    <row r="14" spans="1:11" x14ac:dyDescent="0.2">
      <c r="A14" s="10" t="s">
        <v>65</v>
      </c>
      <c r="B14" s="2">
        <f>+'Nachweis Sep bis Dez'!B93</f>
        <v>7500</v>
      </c>
      <c r="D14" s="2">
        <f>+'Nachweis Sep bis Dez'!D93</f>
        <v>10860</v>
      </c>
      <c r="E14" s="2"/>
      <c r="F14" s="2">
        <f>+'Nachweis Sep bis Dez'!F93</f>
        <v>6921.6</v>
      </c>
      <c r="H14" s="2">
        <f>+'Nachweis Sep bis Dez'!H93</f>
        <v>5700</v>
      </c>
      <c r="J14" s="2">
        <f>SUM(B14,D14,F14,H14)</f>
        <v>30981.599999999999</v>
      </c>
    </row>
    <row r="16" spans="1:11" x14ac:dyDescent="0.2">
      <c r="A16" s="10" t="s">
        <v>66</v>
      </c>
      <c r="B16" s="2">
        <f>ROUND(B14*B12,2)</f>
        <v>6750</v>
      </c>
      <c r="C16" s="2"/>
      <c r="D16" s="2">
        <f>ROUND(D14*D12,2)</f>
        <v>6516</v>
      </c>
      <c r="E16" s="2"/>
      <c r="F16" s="2">
        <f>ROUND(F14*F12,2)</f>
        <v>2768.64</v>
      </c>
      <c r="G16" s="2"/>
      <c r="H16" s="2">
        <f>ROUND(H14*H12,2)</f>
        <v>0</v>
      </c>
      <c r="J16" s="2">
        <f>SUM(B16,D16,F16,H16)</f>
        <v>16034.64</v>
      </c>
    </row>
    <row r="18" spans="1:10" x14ac:dyDescent="0.2">
      <c r="B18" s="27"/>
      <c r="C18" s="27"/>
      <c r="D18" s="27"/>
      <c r="E18" s="27"/>
      <c r="F18" s="27"/>
      <c r="G18" s="27"/>
      <c r="H18" s="27"/>
      <c r="I18" s="27"/>
      <c r="J18" s="27"/>
    </row>
    <row r="19" spans="1:10" ht="15.75" x14ac:dyDescent="0.25">
      <c r="A19" s="10" t="s">
        <v>68</v>
      </c>
      <c r="B19" s="32">
        <f>+B16</f>
        <v>6750</v>
      </c>
      <c r="D19" s="32">
        <f>+D16</f>
        <v>6516</v>
      </c>
      <c r="F19" s="32">
        <f>+F16</f>
        <v>2768.64</v>
      </c>
      <c r="H19" s="32">
        <f>+H16</f>
        <v>0</v>
      </c>
      <c r="J19" s="32">
        <f>SUM(B19,D19,F19,H19)</f>
        <v>16034.64</v>
      </c>
    </row>
    <row r="22" spans="1:10" x14ac:dyDescent="0.2">
      <c r="A22" s="10" t="s">
        <v>69</v>
      </c>
      <c r="B22" s="2">
        <f>+B19</f>
        <v>6750</v>
      </c>
      <c r="D22" s="2">
        <f>+D19</f>
        <v>6516</v>
      </c>
      <c r="E22" s="2"/>
      <c r="F22" s="2">
        <f>+F19</f>
        <v>2768.64</v>
      </c>
      <c r="H22" s="2">
        <f>+H19</f>
        <v>0</v>
      </c>
    </row>
    <row r="23" spans="1:10" x14ac:dyDescent="0.2">
      <c r="A23" s="10" t="s">
        <v>70</v>
      </c>
      <c r="B23" s="2">
        <v>50000</v>
      </c>
      <c r="C23" s="2"/>
      <c r="D23" s="2">
        <v>50000</v>
      </c>
      <c r="E23" s="2"/>
      <c r="F23" s="2">
        <v>50000</v>
      </c>
      <c r="G23" s="2"/>
      <c r="H23" s="2">
        <v>50000</v>
      </c>
    </row>
    <row r="24" spans="1:10" ht="15.75" thickBot="1" x14ac:dyDescent="0.25"/>
    <row r="25" spans="1:10" ht="16.5" thickBot="1" x14ac:dyDescent="0.3">
      <c r="A25" s="10" t="s">
        <v>102</v>
      </c>
      <c r="B25" s="43">
        <f>MIN(B22,B23)</f>
        <v>6750</v>
      </c>
      <c r="C25" s="9"/>
      <c r="D25" s="43">
        <f>MIN(D22,D23)</f>
        <v>6516</v>
      </c>
      <c r="E25" s="9"/>
      <c r="F25" s="43">
        <f>MIN(F22,F23)</f>
        <v>2768.64</v>
      </c>
      <c r="G25" s="9"/>
      <c r="H25" s="43">
        <f>MIN(H22,H23)</f>
        <v>0</v>
      </c>
      <c r="I25" s="9"/>
      <c r="J25" s="44">
        <f>SUM(B25:H25)</f>
        <v>16034.64</v>
      </c>
    </row>
    <row r="27" spans="1:10" x14ac:dyDescent="0.2">
      <c r="A27" s="27" t="s">
        <v>104</v>
      </c>
      <c r="B27" s="6" t="e">
        <f>+#REF!</f>
        <v>#REF!</v>
      </c>
      <c r="C27" s="27"/>
      <c r="D27" s="6" t="e">
        <f>+#REF!</f>
        <v>#REF!</v>
      </c>
      <c r="E27" s="6"/>
      <c r="F27" s="6" t="e">
        <f>+#REF!</f>
        <v>#REF!</v>
      </c>
      <c r="G27" s="27"/>
      <c r="H27" s="6" t="e">
        <f>+#REF!</f>
        <v>#REF!</v>
      </c>
      <c r="I27" s="27"/>
      <c r="J27" s="6" t="e">
        <f>SUM(H27,F27,D27,B27)</f>
        <v>#REF!</v>
      </c>
    </row>
    <row r="28" spans="1:10" ht="15.75" thickBot="1" x14ac:dyDescent="0.25"/>
    <row r="29" spans="1:10" ht="16.5" thickBot="1" x14ac:dyDescent="0.3">
      <c r="A29" s="10" t="s">
        <v>103</v>
      </c>
      <c r="B29" s="42" t="e">
        <f>+B25-B27</f>
        <v>#REF!</v>
      </c>
      <c r="D29" s="42" t="e">
        <f>+D25-D27</f>
        <v>#REF!</v>
      </c>
      <c r="F29" s="42" t="e">
        <f>+F25-F27</f>
        <v>#REF!</v>
      </c>
      <c r="H29" s="42" t="e">
        <f>+H25-H27</f>
        <v>#REF!</v>
      </c>
      <c r="J29" s="33" t="e">
        <f>SUM(H29,F29,D29,B29)</f>
        <v>#REF!</v>
      </c>
    </row>
    <row r="31" spans="1:10" x14ac:dyDescent="0.2">
      <c r="A31" s="10" t="s">
        <v>105</v>
      </c>
    </row>
  </sheetData>
  <pageMargins left="0.7" right="0.7" top="0.78740157499999996" bottom="0.78740157499999996" header="0.3" footer="0.3"/>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18"/>
  <sheetViews>
    <sheetView tabSelected="1" topLeftCell="A14" workbookViewId="0">
      <selection activeCell="A45" sqref="A45"/>
    </sheetView>
  </sheetViews>
  <sheetFormatPr baseColWidth="10" defaultColWidth="11.42578125" defaultRowHeight="15" outlineLevelRow="1" x14ac:dyDescent="0.2"/>
  <cols>
    <col min="1" max="1" width="55.7109375" style="132" customWidth="1"/>
    <col min="2" max="2" width="20.7109375" style="132" customWidth="1"/>
    <col min="3" max="3" width="2.85546875" style="132" customWidth="1"/>
    <col min="4" max="4" width="20.7109375" style="132" customWidth="1"/>
    <col min="5" max="5" width="2.140625" style="132" customWidth="1"/>
    <col min="6" max="6" width="20.7109375" style="132" customWidth="1"/>
    <col min="7" max="7" width="1.5703125" style="132" customWidth="1"/>
    <col min="8" max="8" width="20.7109375" style="132" customWidth="1"/>
    <col min="9" max="9" width="2.28515625" style="132" customWidth="1"/>
    <col min="10" max="10" width="20.7109375" style="132" customWidth="1"/>
    <col min="11" max="11" width="2.140625" style="132" customWidth="1"/>
    <col min="12" max="12" width="20.7109375" style="132" customWidth="1"/>
    <col min="13" max="13" width="2.140625" style="132" customWidth="1"/>
    <col min="14" max="14" width="20.7109375" style="132" customWidth="1"/>
    <col min="15" max="15" width="2.28515625" style="132" customWidth="1"/>
    <col min="16" max="16" width="20.7109375" style="132" customWidth="1"/>
    <col min="17" max="16384" width="11.42578125" style="132"/>
  </cols>
  <sheetData>
    <row r="1" spans="1:16" ht="15.75" x14ac:dyDescent="0.2">
      <c r="A1" s="130" t="s">
        <v>0</v>
      </c>
      <c r="B1" s="41"/>
      <c r="C1" s="41"/>
      <c r="D1" s="41"/>
      <c r="E1" s="41"/>
      <c r="F1" s="41"/>
      <c r="G1" s="41"/>
      <c r="H1" s="41"/>
      <c r="I1" s="41"/>
      <c r="J1" s="131" t="s">
        <v>1</v>
      </c>
      <c r="K1" s="277" t="str">
        <f>+Anspruchsvoraussetzung!J1</f>
        <v>Mustermann, Max</v>
      </c>
      <c r="L1" s="278"/>
      <c r="M1" s="278"/>
      <c r="N1" s="278"/>
    </row>
    <row r="2" spans="1:16" ht="15.75" x14ac:dyDescent="0.2">
      <c r="A2" s="133" t="s">
        <v>210</v>
      </c>
      <c r="B2" s="41"/>
      <c r="C2" s="41"/>
      <c r="D2" s="41"/>
      <c r="E2" s="41"/>
      <c r="F2" s="41"/>
      <c r="G2" s="41"/>
      <c r="H2" s="41"/>
      <c r="I2" s="41"/>
      <c r="J2" s="131" t="s">
        <v>2</v>
      </c>
      <c r="K2" s="277" t="str">
        <f>+Anspruchsvoraussetzung!J2</f>
        <v>205/5371/5211</v>
      </c>
      <c r="L2" s="278"/>
      <c r="M2" s="278"/>
      <c r="N2" s="278"/>
    </row>
    <row r="3" spans="1:16" ht="15.75" customHeight="1" x14ac:dyDescent="0.2">
      <c r="A3" s="152"/>
      <c r="B3" s="41"/>
      <c r="C3" s="41"/>
      <c r="D3" s="41"/>
      <c r="E3" s="41"/>
      <c r="F3" s="41"/>
      <c r="G3" s="41"/>
      <c r="H3" s="131"/>
      <c r="I3" s="41"/>
      <c r="J3" s="131" t="s">
        <v>3</v>
      </c>
      <c r="K3" s="277" t="str">
        <f>+Anspruchsvoraussetzung!J3</f>
        <v>Teststadt</v>
      </c>
      <c r="L3" s="278"/>
      <c r="M3" s="278"/>
      <c r="N3" s="278"/>
    </row>
    <row r="4" spans="1:16" x14ac:dyDescent="0.2">
      <c r="A4" s="152"/>
      <c r="B4" s="131"/>
      <c r="C4" s="131"/>
      <c r="D4" s="131"/>
      <c r="E4" s="131"/>
      <c r="F4" s="131"/>
      <c r="G4" s="131"/>
      <c r="H4" s="131"/>
      <c r="I4" s="131"/>
      <c r="J4" s="131"/>
      <c r="K4" s="131"/>
    </row>
    <row r="5" spans="1:16" ht="15.75" x14ac:dyDescent="0.25">
      <c r="A5" s="134" t="s">
        <v>15</v>
      </c>
      <c r="B5" s="131"/>
      <c r="C5" s="131"/>
      <c r="D5" s="131"/>
      <c r="E5" s="131"/>
      <c r="F5" s="131"/>
      <c r="G5" s="131"/>
      <c r="H5" s="135"/>
      <c r="I5" s="131"/>
      <c r="J5" s="131"/>
      <c r="K5" s="131"/>
    </row>
    <row r="6" spans="1:16" ht="15.75" x14ac:dyDescent="0.25">
      <c r="A6" s="134"/>
      <c r="B6" s="131"/>
      <c r="C6" s="131"/>
      <c r="D6" s="131"/>
      <c r="E6" s="131"/>
      <c r="F6" s="131"/>
      <c r="G6" s="131"/>
      <c r="H6" s="135"/>
      <c r="I6" s="131"/>
      <c r="J6" s="131"/>
      <c r="K6" s="131"/>
    </row>
    <row r="7" spans="1:16" ht="15.75" x14ac:dyDescent="0.25">
      <c r="A7" s="153" t="s">
        <v>211</v>
      </c>
      <c r="C7" s="153"/>
      <c r="D7" s="150"/>
      <c r="E7" s="150"/>
      <c r="F7" s="150"/>
      <c r="G7" s="150"/>
      <c r="H7" s="150"/>
      <c r="I7" s="150"/>
      <c r="J7" s="150"/>
    </row>
    <row r="8" spans="1:16" ht="15.75" x14ac:dyDescent="0.25">
      <c r="A8" s="148"/>
      <c r="B8" s="153"/>
      <c r="C8" s="153"/>
      <c r="D8" s="150"/>
      <c r="E8" s="150"/>
      <c r="F8" s="150"/>
      <c r="G8" s="150"/>
      <c r="H8" s="150"/>
      <c r="I8" s="150"/>
      <c r="J8" s="150"/>
    </row>
    <row r="9" spans="1:16" x14ac:dyDescent="0.2">
      <c r="A9" s="154" t="s">
        <v>8</v>
      </c>
      <c r="B9" s="155" t="s">
        <v>9</v>
      </c>
      <c r="C9" s="155"/>
      <c r="D9" s="147" t="s">
        <v>86</v>
      </c>
      <c r="E9" s="147"/>
      <c r="F9" s="147"/>
      <c r="G9" s="147"/>
      <c r="H9" s="147"/>
      <c r="I9" s="147"/>
      <c r="J9" s="150"/>
    </row>
    <row r="10" spans="1:16" x14ac:dyDescent="0.2">
      <c r="A10" s="154" t="s">
        <v>8</v>
      </c>
      <c r="B10" s="155" t="s">
        <v>10</v>
      </c>
      <c r="C10" s="155"/>
      <c r="D10" s="147" t="s">
        <v>87</v>
      </c>
      <c r="E10" s="147"/>
      <c r="F10" s="147"/>
      <c r="G10" s="147"/>
      <c r="H10" s="147"/>
      <c r="I10" s="147"/>
      <c r="J10" s="140"/>
    </row>
    <row r="11" spans="1:16" x14ac:dyDescent="0.2">
      <c r="A11" s="154" t="s">
        <v>8</v>
      </c>
      <c r="B11" s="155" t="s">
        <v>88</v>
      </c>
      <c r="C11" s="155"/>
      <c r="D11" s="147" t="s">
        <v>11</v>
      </c>
      <c r="E11" s="147"/>
      <c r="F11" s="147"/>
      <c r="G11" s="147"/>
      <c r="H11" s="147"/>
      <c r="I11" s="147"/>
      <c r="J11" s="150"/>
    </row>
    <row r="13" spans="1:16" ht="15.75" x14ac:dyDescent="0.25">
      <c r="A13" s="140" t="s">
        <v>245</v>
      </c>
      <c r="B13" s="12">
        <v>43770</v>
      </c>
      <c r="C13" s="12"/>
      <c r="D13" s="12">
        <v>43800</v>
      </c>
      <c r="E13" s="12"/>
      <c r="F13" s="12">
        <v>43466</v>
      </c>
      <c r="G13" s="12"/>
      <c r="H13" s="12">
        <v>43497</v>
      </c>
      <c r="I13" s="10"/>
      <c r="J13" s="12">
        <v>43525</v>
      </c>
      <c r="K13" s="12"/>
      <c r="L13" s="12">
        <v>43556</v>
      </c>
      <c r="M13" s="10"/>
      <c r="N13" s="12">
        <v>43586</v>
      </c>
      <c r="O13" s="12"/>
      <c r="P13" s="12">
        <v>43617</v>
      </c>
    </row>
    <row r="14" spans="1:16" ht="15.75" x14ac:dyDescent="0.25">
      <c r="A14" s="151"/>
      <c r="B14" s="141"/>
      <c r="C14" s="141"/>
      <c r="D14" s="141"/>
      <c r="E14" s="141"/>
      <c r="F14" s="141"/>
      <c r="G14" s="140"/>
      <c r="H14" s="141"/>
      <c r="I14" s="140"/>
      <c r="J14" s="142"/>
    </row>
    <row r="15" spans="1:16" x14ac:dyDescent="0.2">
      <c r="A15" s="140" t="s">
        <v>80</v>
      </c>
      <c r="B15" s="39">
        <v>15000</v>
      </c>
      <c r="C15" s="140"/>
      <c r="D15" s="39">
        <v>15000</v>
      </c>
      <c r="E15" s="140"/>
      <c r="F15" s="39">
        <v>15000</v>
      </c>
      <c r="G15" s="140"/>
      <c r="H15" s="39">
        <v>15000</v>
      </c>
      <c r="I15" s="140"/>
      <c r="J15" s="39">
        <v>15000</v>
      </c>
      <c r="K15" s="140"/>
      <c r="L15" s="39">
        <v>15000</v>
      </c>
      <c r="M15" s="140"/>
      <c r="N15" s="39">
        <v>12500</v>
      </c>
      <c r="O15" s="140"/>
      <c r="P15" s="39">
        <v>8000</v>
      </c>
    </row>
    <row r="16" spans="1:16" x14ac:dyDescent="0.2">
      <c r="A16" s="140" t="s">
        <v>81</v>
      </c>
      <c r="B16" s="39">
        <v>0</v>
      </c>
      <c r="C16" s="140"/>
      <c r="D16" s="39">
        <v>0</v>
      </c>
      <c r="E16" s="140"/>
      <c r="F16" s="39">
        <v>0</v>
      </c>
      <c r="G16" s="140"/>
      <c r="H16" s="39">
        <v>0</v>
      </c>
      <c r="I16" s="140"/>
      <c r="J16" s="39">
        <v>0</v>
      </c>
      <c r="K16" s="140"/>
      <c r="L16" s="39">
        <v>0</v>
      </c>
      <c r="M16" s="140"/>
      <c r="N16" s="39">
        <v>0</v>
      </c>
      <c r="O16" s="140"/>
      <c r="P16" s="39">
        <v>0</v>
      </c>
    </row>
    <row r="17" spans="1:16" x14ac:dyDescent="0.2">
      <c r="A17" s="140" t="s">
        <v>82</v>
      </c>
      <c r="B17" s="39">
        <v>500</v>
      </c>
      <c r="C17" s="140"/>
      <c r="D17" s="39">
        <v>500</v>
      </c>
      <c r="E17" s="140"/>
      <c r="F17" s="39">
        <v>500</v>
      </c>
      <c r="G17" s="140"/>
      <c r="H17" s="39">
        <v>500</v>
      </c>
      <c r="I17" s="140"/>
      <c r="J17" s="39">
        <v>500</v>
      </c>
      <c r="K17" s="140"/>
      <c r="L17" s="39">
        <v>500</v>
      </c>
      <c r="M17" s="140"/>
      <c r="N17" s="39">
        <v>500</v>
      </c>
      <c r="O17" s="140"/>
      <c r="P17" s="39">
        <v>500</v>
      </c>
    </row>
    <row r="18" spans="1:16" x14ac:dyDescent="0.2">
      <c r="A18" s="143" t="s">
        <v>83</v>
      </c>
      <c r="B18" s="48">
        <v>0</v>
      </c>
      <c r="C18" s="143"/>
      <c r="D18" s="48">
        <v>0</v>
      </c>
      <c r="E18" s="143"/>
      <c r="F18" s="48">
        <v>0</v>
      </c>
      <c r="G18" s="143"/>
      <c r="H18" s="48">
        <v>0</v>
      </c>
      <c r="I18" s="140"/>
      <c r="J18" s="48">
        <v>0</v>
      </c>
      <c r="K18" s="143"/>
      <c r="L18" s="48">
        <v>0</v>
      </c>
      <c r="M18" s="143"/>
      <c r="N18" s="48">
        <v>0</v>
      </c>
      <c r="O18" s="143"/>
      <c r="P18" s="48">
        <v>0</v>
      </c>
    </row>
    <row r="19" spans="1:16" x14ac:dyDescent="0.2">
      <c r="A19" s="144" t="s">
        <v>7</v>
      </c>
      <c r="B19" s="145">
        <f>SUM(B15:B18)</f>
        <v>15500</v>
      </c>
      <c r="C19" s="146"/>
      <c r="D19" s="145">
        <f>SUM(D15:D18)</f>
        <v>15500</v>
      </c>
      <c r="E19" s="145"/>
      <c r="F19" s="145">
        <f>SUM(F15:F18)</f>
        <v>15500</v>
      </c>
      <c r="G19" s="145"/>
      <c r="H19" s="145">
        <f>SUM(H15:H18)</f>
        <v>15500</v>
      </c>
      <c r="I19" s="140"/>
      <c r="J19" s="145">
        <f>SUM(J15:J18)</f>
        <v>15500</v>
      </c>
      <c r="K19" s="146"/>
      <c r="L19" s="145">
        <f>SUM(L15:L18)</f>
        <v>15500</v>
      </c>
      <c r="M19" s="145"/>
      <c r="N19" s="145">
        <f>SUM(N15:N18)</f>
        <v>13000</v>
      </c>
      <c r="O19" s="145"/>
      <c r="P19" s="145">
        <f>SUM(P15:P18)</f>
        <v>8500</v>
      </c>
    </row>
    <row r="20" spans="1:16" x14ac:dyDescent="0.2">
      <c r="A20" s="140"/>
      <c r="B20" s="140"/>
      <c r="C20" s="140"/>
      <c r="D20" s="140"/>
      <c r="E20" s="140"/>
      <c r="F20" s="140"/>
      <c r="G20" s="140"/>
      <c r="H20" s="150"/>
      <c r="I20" s="140"/>
      <c r="J20" s="140"/>
      <c r="K20" s="140"/>
      <c r="L20" s="140"/>
      <c r="M20" s="140"/>
      <c r="N20" s="140"/>
      <c r="O20" s="140"/>
      <c r="P20" s="150"/>
    </row>
    <row r="21" spans="1:16" ht="15.75" x14ac:dyDescent="0.25">
      <c r="A21" s="151" t="s">
        <v>246</v>
      </c>
      <c r="B21" s="12">
        <v>44136</v>
      </c>
      <c r="C21" s="12"/>
      <c r="D21" s="12">
        <v>44166</v>
      </c>
      <c r="E21" s="12"/>
      <c r="F21" s="12">
        <v>44197</v>
      </c>
      <c r="G21" s="12"/>
      <c r="H21" s="12">
        <v>44228</v>
      </c>
      <c r="I21" s="10"/>
      <c r="J21" s="12">
        <v>44256</v>
      </c>
      <c r="K21" s="12"/>
      <c r="L21" s="12">
        <v>44287</v>
      </c>
      <c r="M21" s="10"/>
      <c r="N21" s="12">
        <v>44317</v>
      </c>
      <c r="O21" s="12"/>
      <c r="P21" s="12">
        <v>44348</v>
      </c>
    </row>
    <row r="22" spans="1:16" ht="15.75" x14ac:dyDescent="0.25">
      <c r="B22" s="141"/>
      <c r="C22" s="141"/>
      <c r="D22" s="141"/>
      <c r="E22" s="140"/>
      <c r="F22" s="141"/>
      <c r="G22" s="140"/>
      <c r="H22" s="141"/>
      <c r="I22" s="140"/>
      <c r="J22" s="141"/>
      <c r="K22" s="141"/>
      <c r="L22" s="141"/>
      <c r="M22" s="140"/>
      <c r="N22" s="141"/>
      <c r="O22" s="140"/>
      <c r="P22" s="141"/>
    </row>
    <row r="23" spans="1:16" x14ac:dyDescent="0.2">
      <c r="A23" s="140" t="s">
        <v>80</v>
      </c>
      <c r="B23" s="39">
        <v>10000</v>
      </c>
      <c r="C23" s="140"/>
      <c r="D23" s="39">
        <v>10000</v>
      </c>
      <c r="E23" s="140"/>
      <c r="F23" s="39">
        <v>3000</v>
      </c>
      <c r="G23" s="140"/>
      <c r="H23" s="39">
        <v>3000</v>
      </c>
      <c r="I23" s="140"/>
      <c r="J23" s="39">
        <v>10000</v>
      </c>
      <c r="K23" s="140"/>
      <c r="L23" s="39">
        <v>0</v>
      </c>
      <c r="M23" s="140"/>
      <c r="N23" s="39">
        <v>0</v>
      </c>
      <c r="O23" s="140"/>
      <c r="P23" s="39">
        <v>0</v>
      </c>
    </row>
    <row r="24" spans="1:16" x14ac:dyDescent="0.2">
      <c r="A24" s="140" t="s">
        <v>81</v>
      </c>
      <c r="B24" s="39">
        <v>0</v>
      </c>
      <c r="C24" s="140"/>
      <c r="D24" s="39">
        <v>0</v>
      </c>
      <c r="E24" s="140"/>
      <c r="F24" s="39">
        <v>0</v>
      </c>
      <c r="G24" s="140"/>
      <c r="H24" s="39">
        <v>0</v>
      </c>
      <c r="I24" s="140"/>
      <c r="J24" s="39">
        <v>0</v>
      </c>
      <c r="K24" s="140"/>
      <c r="L24" s="39">
        <v>0</v>
      </c>
      <c r="M24" s="140"/>
      <c r="N24" s="39">
        <v>0</v>
      </c>
      <c r="O24" s="140"/>
      <c r="P24" s="39">
        <v>0</v>
      </c>
    </row>
    <row r="25" spans="1:16" x14ac:dyDescent="0.2">
      <c r="A25" s="140" t="s">
        <v>82</v>
      </c>
      <c r="B25" s="39">
        <v>450</v>
      </c>
      <c r="C25" s="140"/>
      <c r="D25" s="39">
        <v>450</v>
      </c>
      <c r="E25" s="140"/>
      <c r="F25" s="39">
        <v>450</v>
      </c>
      <c r="G25" s="140"/>
      <c r="H25" s="39">
        <v>450</v>
      </c>
      <c r="I25" s="140"/>
      <c r="J25" s="39">
        <v>450</v>
      </c>
      <c r="K25" s="140"/>
      <c r="L25" s="39">
        <v>450</v>
      </c>
      <c r="M25" s="140"/>
      <c r="N25" s="39">
        <v>450</v>
      </c>
      <c r="O25" s="140"/>
      <c r="P25" s="39">
        <v>450</v>
      </c>
    </row>
    <row r="26" spans="1:16" x14ac:dyDescent="0.2">
      <c r="A26" s="143" t="s">
        <v>83</v>
      </c>
      <c r="B26" s="48">
        <v>0</v>
      </c>
      <c r="C26" s="143"/>
      <c r="D26" s="48">
        <v>0</v>
      </c>
      <c r="E26" s="143"/>
      <c r="F26" s="48">
        <v>0</v>
      </c>
      <c r="G26" s="143"/>
      <c r="H26" s="48">
        <v>0</v>
      </c>
      <c r="I26" s="140"/>
      <c r="J26" s="48">
        <v>0</v>
      </c>
      <c r="K26" s="143"/>
      <c r="L26" s="48">
        <v>0</v>
      </c>
      <c r="M26" s="143"/>
      <c r="N26" s="48">
        <v>0</v>
      </c>
      <c r="O26" s="143"/>
      <c r="P26" s="48">
        <v>0</v>
      </c>
    </row>
    <row r="27" spans="1:16" x14ac:dyDescent="0.2">
      <c r="A27" s="144" t="s">
        <v>7</v>
      </c>
      <c r="B27" s="145">
        <f>SUM(B23:B26)</f>
        <v>10450</v>
      </c>
      <c r="C27" s="146"/>
      <c r="D27" s="145">
        <f>SUM(D23:D26)</f>
        <v>10450</v>
      </c>
      <c r="E27" s="145"/>
      <c r="F27" s="145">
        <f>SUM(F23:F26)</f>
        <v>3450</v>
      </c>
      <c r="G27" s="145"/>
      <c r="H27" s="145">
        <f>SUM(H23:H26)</f>
        <v>3450</v>
      </c>
      <c r="I27" s="140"/>
      <c r="J27" s="145">
        <f>SUM(J23:J26)</f>
        <v>10450</v>
      </c>
      <c r="K27" s="146"/>
      <c r="L27" s="145">
        <f>SUM(L23:L26)</f>
        <v>450</v>
      </c>
      <c r="M27" s="145"/>
      <c r="N27" s="145">
        <f>SUM(N23:N26)</f>
        <v>450</v>
      </c>
      <c r="O27" s="145"/>
      <c r="P27" s="145">
        <f>SUM(P23:P26)</f>
        <v>450</v>
      </c>
    </row>
    <row r="28" spans="1:16" ht="15.75" thickBot="1" x14ac:dyDescent="0.25">
      <c r="A28" s="140"/>
      <c r="B28" s="150"/>
      <c r="C28" s="140"/>
      <c r="D28" s="150"/>
      <c r="E28" s="140"/>
      <c r="F28" s="150"/>
      <c r="G28" s="150"/>
      <c r="H28" s="150"/>
      <c r="I28" s="150"/>
      <c r="J28" s="150"/>
      <c r="K28" s="140"/>
      <c r="L28" s="150"/>
      <c r="M28" s="140"/>
      <c r="N28" s="150"/>
      <c r="O28" s="150"/>
      <c r="P28" s="150"/>
    </row>
    <row r="29" spans="1:16" ht="16.5" thickBot="1" x14ac:dyDescent="0.3">
      <c r="A29" s="151" t="s">
        <v>13</v>
      </c>
      <c r="B29" s="149">
        <f>-SUM(B27-B19)/B19</f>
        <v>0.32580645161290323</v>
      </c>
      <c r="C29" s="140"/>
      <c r="D29" s="149">
        <f>-SUM(D27-D19)/D19</f>
        <v>0.32580645161290323</v>
      </c>
      <c r="E29" s="140"/>
      <c r="F29" s="149">
        <f>-SUM(F27-F19)/F19</f>
        <v>0.77741935483870972</v>
      </c>
      <c r="G29" s="140"/>
      <c r="H29" s="149">
        <f>-SUM(H27-H19)/H19</f>
        <v>0.77741935483870972</v>
      </c>
      <c r="I29" s="140"/>
      <c r="J29" s="149">
        <f>-SUM(J27-J19)/J19</f>
        <v>0.32580645161290323</v>
      </c>
      <c r="K29" s="140"/>
      <c r="L29" s="149">
        <f>-SUM(L27-L19)/L19</f>
        <v>0.97096774193548385</v>
      </c>
      <c r="M29" s="140"/>
      <c r="N29" s="149">
        <f>-SUM(N27-N19)/N19</f>
        <v>0.9653846153846154</v>
      </c>
      <c r="O29" s="140"/>
      <c r="P29" s="149">
        <f>-SUM(P27-P19)/P19</f>
        <v>0.94705882352941173</v>
      </c>
    </row>
    <row r="30" spans="1:16" ht="15.75" thickBot="1" x14ac:dyDescent="0.25">
      <c r="A30" s="140"/>
      <c r="B30" s="140"/>
      <c r="C30" s="140"/>
      <c r="D30" s="140"/>
      <c r="E30" s="140"/>
      <c r="F30" s="140"/>
      <c r="G30" s="140"/>
      <c r="H30" s="140"/>
      <c r="I30" s="140"/>
      <c r="J30" s="140"/>
      <c r="K30" s="140"/>
      <c r="L30" s="140"/>
      <c r="M30" s="140"/>
      <c r="N30" s="140"/>
      <c r="O30" s="140"/>
      <c r="P30" s="140"/>
    </row>
    <row r="31" spans="1:16" ht="16.5" thickBot="1" x14ac:dyDescent="0.25">
      <c r="A31" s="140" t="s">
        <v>14</v>
      </c>
      <c r="B31" s="156">
        <f>IF(B29&lt;30%,0,IF(B29&lt;50%,40%,IF(B29&lt;70%,60%,90%)))</f>
        <v>0.4</v>
      </c>
      <c r="C31" s="140"/>
      <c r="D31" s="156">
        <f>IF(D29&lt;30%,0,IF(D29&lt;50%,40%,IF(D29&lt;70%,60%,90%)))</f>
        <v>0.4</v>
      </c>
      <c r="E31" s="140"/>
      <c r="F31" s="156">
        <f>IF(F29&lt;30%,0,IF(F29&lt;50%,40%,IF(F29&lt;70%,60%,90%)))</f>
        <v>0.9</v>
      </c>
      <c r="G31" s="140"/>
      <c r="H31" s="156">
        <f>IF(H29&lt;30%,0,IF(H29&lt;50%,40%,IF(H29&lt;70%,60%,90%)))</f>
        <v>0.9</v>
      </c>
      <c r="I31" s="140"/>
      <c r="J31" s="156">
        <f>IF(J29&lt;30%,0,IF(J29&lt;50%,40%,IF(J29&lt;70%,60%,90%)))</f>
        <v>0.4</v>
      </c>
      <c r="K31" s="140"/>
      <c r="L31" s="156">
        <f>IF(L29&lt;30%,0,IF(L29&lt;50%,40%,IF(L29&lt;70%,60%,90%)))</f>
        <v>0.9</v>
      </c>
      <c r="M31" s="140"/>
      <c r="N31" s="156">
        <f>IF(N29&lt;30%,0,IF(N29&lt;50%,40%,IF(N29&lt;70%,60%,90%)))</f>
        <v>0.9</v>
      </c>
      <c r="O31" s="140"/>
      <c r="P31" s="156">
        <f>IF(P29&lt;30%,0,IF(P29&lt;50%,40%,IF(P29&lt;70%,60%,90%)))</f>
        <v>0.9</v>
      </c>
    </row>
    <row r="32" spans="1:16" x14ac:dyDescent="0.2">
      <c r="A32" s="140"/>
      <c r="B32" s="140"/>
      <c r="C32" s="140"/>
      <c r="D32" s="140"/>
      <c r="E32" s="140"/>
      <c r="F32" s="140"/>
      <c r="G32" s="140"/>
      <c r="H32" s="140"/>
      <c r="I32" s="140"/>
    </row>
    <row r="34" spans="1:16" ht="15.75" x14ac:dyDescent="0.25">
      <c r="A34" s="153" t="s">
        <v>212</v>
      </c>
    </row>
    <row r="35" spans="1:16" ht="15.75" x14ac:dyDescent="0.25">
      <c r="A35" s="153"/>
    </row>
    <row r="36" spans="1:16" x14ac:dyDescent="0.2">
      <c r="A36" s="139" t="s">
        <v>84</v>
      </c>
    </row>
    <row r="37" spans="1:16" x14ac:dyDescent="0.2">
      <c r="A37" s="139" t="s">
        <v>99</v>
      </c>
    </row>
    <row r="38" spans="1:16" x14ac:dyDescent="0.2">
      <c r="A38" s="139" t="s">
        <v>100</v>
      </c>
    </row>
    <row r="40" spans="1:16" ht="15.75" x14ac:dyDescent="0.25">
      <c r="B40" s="12">
        <v>44136</v>
      </c>
      <c r="C40" s="12"/>
      <c r="D40" s="12">
        <v>44166</v>
      </c>
      <c r="E40" s="12"/>
      <c r="F40" s="12">
        <v>44197</v>
      </c>
      <c r="G40" s="12"/>
      <c r="H40" s="12">
        <v>44228</v>
      </c>
      <c r="I40" s="10"/>
      <c r="J40" s="12">
        <v>44256</v>
      </c>
      <c r="K40" s="12"/>
      <c r="L40" s="12">
        <v>44287</v>
      </c>
      <c r="M40" s="10"/>
      <c r="N40" s="12">
        <v>44317</v>
      </c>
      <c r="O40" s="12"/>
      <c r="P40" s="12">
        <v>44348</v>
      </c>
    </row>
    <row r="41" spans="1:16" ht="14.25" customHeight="1" x14ac:dyDescent="0.2"/>
    <row r="42" spans="1:16" ht="13.5" customHeight="1" outlineLevel="1" x14ac:dyDescent="0.2">
      <c r="A42" s="132" t="s">
        <v>90</v>
      </c>
      <c r="B42" s="36">
        <v>1000</v>
      </c>
      <c r="C42" s="41"/>
      <c r="D42" s="36">
        <v>1000</v>
      </c>
      <c r="E42" s="53"/>
      <c r="F42" s="36">
        <v>1000</v>
      </c>
      <c r="G42" s="41"/>
      <c r="H42" s="36">
        <v>1000</v>
      </c>
      <c r="J42" s="36">
        <v>1000</v>
      </c>
      <c r="K42" s="2"/>
      <c r="L42" s="36">
        <v>1000</v>
      </c>
      <c r="M42" s="2"/>
      <c r="N42" s="36">
        <v>1000</v>
      </c>
      <c r="O42" s="2"/>
      <c r="P42" s="36">
        <v>1000</v>
      </c>
    </row>
    <row r="43" spans="1:16" ht="13.5" customHeight="1" outlineLevel="1" x14ac:dyDescent="0.2">
      <c r="A43" s="157" t="s">
        <v>91</v>
      </c>
      <c r="B43" s="37">
        <v>500</v>
      </c>
      <c r="C43" s="158"/>
      <c r="D43" s="37">
        <v>500</v>
      </c>
      <c r="E43" s="159"/>
      <c r="F43" s="37">
        <v>500</v>
      </c>
      <c r="G43" s="158"/>
      <c r="H43" s="37">
        <v>500</v>
      </c>
      <c r="J43" s="37">
        <v>500</v>
      </c>
      <c r="K43" s="6"/>
      <c r="L43" s="37">
        <v>500</v>
      </c>
      <c r="M43" s="6"/>
      <c r="N43" s="37">
        <v>500</v>
      </c>
      <c r="O43" s="6"/>
      <c r="P43" s="37">
        <v>500</v>
      </c>
    </row>
    <row r="44" spans="1:16" x14ac:dyDescent="0.2">
      <c r="A44" s="132" t="s">
        <v>17</v>
      </c>
      <c r="B44" s="41">
        <f>SUM(B42:B43)</f>
        <v>1500</v>
      </c>
      <c r="C44" s="41"/>
      <c r="D44" s="41">
        <f>SUM(D42:D43)</f>
        <v>1500</v>
      </c>
      <c r="E44" s="53"/>
      <c r="F44" s="41">
        <f>SUM(F42:F43)</f>
        <v>1500</v>
      </c>
      <c r="G44" s="41"/>
      <c r="H44" s="41">
        <f>SUM(H42:H43)</f>
        <v>1500</v>
      </c>
      <c r="J44" s="2">
        <f>SUM(J42:J43)</f>
        <v>1500</v>
      </c>
      <c r="K44" s="2"/>
      <c r="L44" s="2">
        <f>SUM(L42:L43)</f>
        <v>1500</v>
      </c>
      <c r="M44" s="2"/>
      <c r="N44" s="2">
        <f>SUM(N42:N43)</f>
        <v>1500</v>
      </c>
      <c r="O44" s="2"/>
      <c r="P44" s="2">
        <f>SUM(P42:P43)</f>
        <v>1500</v>
      </c>
    </row>
    <row r="45" spans="1:16" outlineLevel="1" x14ac:dyDescent="0.2">
      <c r="A45" s="132" t="s">
        <v>92</v>
      </c>
      <c r="B45" s="36">
        <v>150</v>
      </c>
      <c r="C45" s="41"/>
      <c r="D45" s="36">
        <v>150</v>
      </c>
      <c r="E45" s="53"/>
      <c r="F45" s="36">
        <v>150</v>
      </c>
      <c r="G45" s="41"/>
      <c r="H45" s="36">
        <v>150</v>
      </c>
      <c r="J45" s="36">
        <v>150</v>
      </c>
      <c r="K45" s="2"/>
      <c r="L45" s="36">
        <v>150</v>
      </c>
      <c r="M45" s="2"/>
      <c r="N45" s="36">
        <v>150</v>
      </c>
      <c r="O45" s="2"/>
      <c r="P45" s="36">
        <v>150</v>
      </c>
    </row>
    <row r="46" spans="1:16" outlineLevel="1" x14ac:dyDescent="0.2">
      <c r="A46" s="157" t="s">
        <v>191</v>
      </c>
      <c r="B46" s="37">
        <v>500</v>
      </c>
      <c r="C46" s="158"/>
      <c r="D46" s="37">
        <v>500</v>
      </c>
      <c r="E46" s="159"/>
      <c r="F46" s="37">
        <v>500</v>
      </c>
      <c r="G46" s="158"/>
      <c r="H46" s="37">
        <v>500</v>
      </c>
      <c r="J46" s="37">
        <v>500</v>
      </c>
      <c r="K46" s="6"/>
      <c r="L46" s="37">
        <v>500</v>
      </c>
      <c r="M46" s="6"/>
      <c r="N46" s="37">
        <v>500</v>
      </c>
      <c r="O46" s="6"/>
      <c r="P46" s="37">
        <v>500</v>
      </c>
    </row>
    <row r="47" spans="1:16" x14ac:dyDescent="0.2">
      <c r="A47" s="132" t="s">
        <v>18</v>
      </c>
      <c r="B47" s="41">
        <f>SUM(B45:B46)</f>
        <v>650</v>
      </c>
      <c r="C47" s="41"/>
      <c r="D47" s="41">
        <f>SUM(D45:D46)</f>
        <v>650</v>
      </c>
      <c r="E47" s="53"/>
      <c r="F47" s="41">
        <f>SUM(F45:F46)</f>
        <v>650</v>
      </c>
      <c r="G47" s="41"/>
      <c r="H47" s="41">
        <f>SUM(H45:H46)</f>
        <v>650</v>
      </c>
      <c r="J47" s="2">
        <f>SUM(J45:J46)</f>
        <v>650</v>
      </c>
      <c r="K47" s="2"/>
      <c r="L47" s="2">
        <f>SUM(L45:L46)</f>
        <v>650</v>
      </c>
      <c r="M47" s="2"/>
      <c r="N47" s="2">
        <f>SUM(N45:N46)</f>
        <v>650</v>
      </c>
      <c r="O47" s="2"/>
      <c r="P47" s="2">
        <f>SUM(P45:P46)</f>
        <v>650</v>
      </c>
    </row>
    <row r="48" spans="1:16" outlineLevel="1" x14ac:dyDescent="0.2">
      <c r="A48" s="132" t="s">
        <v>19</v>
      </c>
      <c r="B48" s="36">
        <v>500</v>
      </c>
      <c r="C48" s="41"/>
      <c r="D48" s="36">
        <v>500</v>
      </c>
      <c r="E48" s="53"/>
      <c r="F48" s="36">
        <v>500</v>
      </c>
      <c r="G48" s="41"/>
      <c r="H48" s="36">
        <v>500</v>
      </c>
      <c r="J48" s="36">
        <v>500</v>
      </c>
      <c r="K48" s="2"/>
      <c r="L48" s="36">
        <v>500</v>
      </c>
      <c r="M48" s="2"/>
      <c r="N48" s="36">
        <v>500</v>
      </c>
      <c r="O48" s="2"/>
      <c r="P48" s="36">
        <v>500</v>
      </c>
    </row>
    <row r="49" spans="1:16" outlineLevel="1" x14ac:dyDescent="0.2">
      <c r="A49" s="157" t="s">
        <v>20</v>
      </c>
      <c r="B49" s="37">
        <v>0</v>
      </c>
      <c r="C49" s="158"/>
      <c r="D49" s="37">
        <v>0</v>
      </c>
      <c r="E49" s="159"/>
      <c r="F49" s="37">
        <v>0</v>
      </c>
      <c r="G49" s="158"/>
      <c r="H49" s="37">
        <v>0</v>
      </c>
      <c r="J49" s="37">
        <v>0</v>
      </c>
      <c r="K49" s="6"/>
      <c r="L49" s="37">
        <v>0</v>
      </c>
      <c r="M49" s="6"/>
      <c r="N49" s="37">
        <v>0</v>
      </c>
      <c r="O49" s="6"/>
      <c r="P49" s="37">
        <v>0</v>
      </c>
    </row>
    <row r="50" spans="1:16" x14ac:dyDescent="0.2">
      <c r="A50" s="132" t="s">
        <v>21</v>
      </c>
      <c r="B50" s="41">
        <f>SUM(B48:B49)</f>
        <v>500</v>
      </c>
      <c r="C50" s="41"/>
      <c r="D50" s="41">
        <f>SUM(D48:D49)</f>
        <v>500</v>
      </c>
      <c r="E50" s="53"/>
      <c r="F50" s="41">
        <f>SUM(F48:F49)</f>
        <v>500</v>
      </c>
      <c r="G50" s="41"/>
      <c r="H50" s="41">
        <f>SUM(H48:H49)</f>
        <v>500</v>
      </c>
      <c r="J50" s="2">
        <f>SUM(J48:J49)</f>
        <v>500</v>
      </c>
      <c r="K50" s="2"/>
      <c r="L50" s="2">
        <f>SUM(L48:L49)</f>
        <v>500</v>
      </c>
      <c r="M50" s="2"/>
      <c r="N50" s="2">
        <f>SUM(N48:N49)</f>
        <v>500</v>
      </c>
      <c r="O50" s="2"/>
      <c r="P50" s="2">
        <f>SUM(P48:P49)</f>
        <v>500</v>
      </c>
    </row>
    <row r="51" spans="1:16" outlineLevel="1" x14ac:dyDescent="0.2">
      <c r="A51" s="132" t="s">
        <v>23</v>
      </c>
      <c r="B51" s="36">
        <v>0</v>
      </c>
      <c r="C51" s="41"/>
      <c r="D51" s="36">
        <v>0</v>
      </c>
      <c r="E51" s="53"/>
      <c r="F51" s="36"/>
      <c r="G51" s="41"/>
      <c r="H51" s="36">
        <v>0</v>
      </c>
      <c r="J51" s="36">
        <v>0</v>
      </c>
      <c r="K51" s="2"/>
      <c r="L51" s="36">
        <v>0</v>
      </c>
      <c r="M51" s="2"/>
      <c r="N51" s="36"/>
      <c r="O51" s="2"/>
      <c r="P51" s="36">
        <v>0</v>
      </c>
    </row>
    <row r="52" spans="1:16" outlineLevel="1" x14ac:dyDescent="0.2">
      <c r="A52" s="157" t="s">
        <v>24</v>
      </c>
      <c r="B52" s="37">
        <v>0</v>
      </c>
      <c r="C52" s="158"/>
      <c r="D52" s="37">
        <v>0</v>
      </c>
      <c r="E52" s="159"/>
      <c r="F52" s="37"/>
      <c r="G52" s="158"/>
      <c r="H52" s="37">
        <v>0</v>
      </c>
      <c r="J52" s="37">
        <v>0</v>
      </c>
      <c r="K52" s="6"/>
      <c r="L52" s="37">
        <v>0</v>
      </c>
      <c r="M52" s="6"/>
      <c r="N52" s="37"/>
      <c r="O52" s="6"/>
      <c r="P52" s="37">
        <v>0</v>
      </c>
    </row>
    <row r="53" spans="1:16" x14ac:dyDescent="0.2">
      <c r="A53" s="132" t="s">
        <v>190</v>
      </c>
      <c r="B53" s="41">
        <f>SUM(B51:B52)</f>
        <v>0</v>
      </c>
      <c r="C53" s="41"/>
      <c r="D53" s="41">
        <f>SUM(D51:D52)</f>
        <v>0</v>
      </c>
      <c r="E53" s="53"/>
      <c r="F53" s="41"/>
      <c r="G53" s="41"/>
      <c r="H53" s="41">
        <f>SUM(H51:H52)</f>
        <v>0</v>
      </c>
      <c r="J53" s="2">
        <f>SUM(J51:J52)</f>
        <v>0</v>
      </c>
      <c r="K53" s="2"/>
      <c r="L53" s="2">
        <f>SUM(L51:L52)</f>
        <v>0</v>
      </c>
      <c r="M53" s="2"/>
      <c r="N53" s="2"/>
      <c r="O53" s="2"/>
      <c r="P53" s="2">
        <f>SUM(P51:P52)</f>
        <v>0</v>
      </c>
    </row>
    <row r="54" spans="1:16" outlineLevel="1" x14ac:dyDescent="0.2">
      <c r="A54" s="132" t="s">
        <v>25</v>
      </c>
      <c r="B54" s="36">
        <v>500</v>
      </c>
      <c r="C54" s="34"/>
      <c r="D54" s="36">
        <v>500</v>
      </c>
      <c r="E54" s="50"/>
      <c r="F54" s="36">
        <v>500</v>
      </c>
      <c r="G54" s="34"/>
      <c r="H54" s="36">
        <v>500</v>
      </c>
      <c r="J54" s="36">
        <v>500</v>
      </c>
      <c r="K54" s="34"/>
      <c r="L54" s="36">
        <v>500</v>
      </c>
      <c r="M54" s="34"/>
      <c r="N54" s="36">
        <v>500</v>
      </c>
      <c r="O54" s="34"/>
      <c r="P54" s="36">
        <v>500</v>
      </c>
    </row>
    <row r="55" spans="1:16" outlineLevel="1" x14ac:dyDescent="0.2">
      <c r="A55" s="132" t="s">
        <v>26</v>
      </c>
      <c r="B55" s="36">
        <v>0</v>
      </c>
      <c r="C55" s="34"/>
      <c r="D55" s="36">
        <v>0</v>
      </c>
      <c r="E55" s="50"/>
      <c r="F55" s="36">
        <v>0</v>
      </c>
      <c r="G55" s="34"/>
      <c r="H55" s="36">
        <v>0</v>
      </c>
      <c r="J55" s="36">
        <v>0</v>
      </c>
      <c r="K55" s="34"/>
      <c r="L55" s="36">
        <v>0</v>
      </c>
      <c r="M55" s="34"/>
      <c r="N55" s="36">
        <v>0</v>
      </c>
      <c r="O55" s="34"/>
      <c r="P55" s="36">
        <v>0</v>
      </c>
    </row>
    <row r="56" spans="1:16" outlineLevel="1" x14ac:dyDescent="0.2">
      <c r="A56" s="132" t="s">
        <v>28</v>
      </c>
      <c r="B56" s="36">
        <v>0</v>
      </c>
      <c r="C56" s="34"/>
      <c r="D56" s="36">
        <v>0</v>
      </c>
      <c r="E56" s="50"/>
      <c r="F56" s="36">
        <v>0</v>
      </c>
      <c r="G56" s="34"/>
      <c r="H56" s="36">
        <v>0</v>
      </c>
      <c r="J56" s="36">
        <v>0</v>
      </c>
      <c r="K56" s="34"/>
      <c r="L56" s="36">
        <v>0</v>
      </c>
      <c r="M56" s="34"/>
      <c r="N56" s="36">
        <v>0</v>
      </c>
      <c r="O56" s="34"/>
      <c r="P56" s="36">
        <v>0</v>
      </c>
    </row>
    <row r="57" spans="1:16" outlineLevel="1" x14ac:dyDescent="0.2">
      <c r="A57" s="157" t="s">
        <v>27</v>
      </c>
      <c r="B57" s="37">
        <v>0</v>
      </c>
      <c r="C57" s="166"/>
      <c r="D57" s="37">
        <v>0</v>
      </c>
      <c r="E57" s="51"/>
      <c r="F57" s="37">
        <v>0</v>
      </c>
      <c r="G57" s="166"/>
      <c r="H57" s="37">
        <v>0</v>
      </c>
      <c r="J57" s="37">
        <v>0</v>
      </c>
      <c r="K57" s="166"/>
      <c r="L57" s="37">
        <v>0</v>
      </c>
      <c r="M57" s="166"/>
      <c r="N57" s="37">
        <v>0</v>
      </c>
      <c r="O57" s="166"/>
      <c r="P57" s="37">
        <v>0</v>
      </c>
    </row>
    <row r="58" spans="1:16" x14ac:dyDescent="0.2">
      <c r="A58" s="132" t="s">
        <v>29</v>
      </c>
      <c r="B58" s="41">
        <f>SUM(B54:B57)</f>
        <v>500</v>
      </c>
      <c r="C58" s="41"/>
      <c r="D58" s="41">
        <f>SUM(D54:D57)</f>
        <v>500</v>
      </c>
      <c r="E58" s="53"/>
      <c r="F58" s="41">
        <f>SUM(F54:F57)</f>
        <v>500</v>
      </c>
      <c r="G58" s="41"/>
      <c r="H58" s="41">
        <f>SUM(H54:H57)</f>
        <v>500</v>
      </c>
      <c r="J58" s="2">
        <f>SUM(J54:J57)</f>
        <v>500</v>
      </c>
      <c r="K58" s="2"/>
      <c r="L58" s="2">
        <f>SUM(L54:L57)</f>
        <v>500</v>
      </c>
      <c r="M58" s="2"/>
      <c r="N58" s="2">
        <f>SUM(N54:N57)</f>
        <v>500</v>
      </c>
      <c r="O58" s="2"/>
      <c r="P58" s="2">
        <f>SUM(P54:P57)</f>
        <v>500</v>
      </c>
    </row>
    <row r="59" spans="1:16" outlineLevel="1" x14ac:dyDescent="0.2">
      <c r="A59" s="132" t="s">
        <v>30</v>
      </c>
      <c r="B59" s="36">
        <v>250</v>
      </c>
      <c r="C59" s="34"/>
      <c r="D59" s="36">
        <v>250</v>
      </c>
      <c r="E59" s="50"/>
      <c r="F59" s="36">
        <v>250</v>
      </c>
      <c r="G59" s="34"/>
      <c r="H59" s="36">
        <v>250</v>
      </c>
      <c r="J59" s="36">
        <v>250</v>
      </c>
      <c r="K59" s="34"/>
      <c r="L59" s="36">
        <v>250</v>
      </c>
      <c r="M59" s="34"/>
      <c r="N59" s="36">
        <v>250</v>
      </c>
      <c r="O59" s="34"/>
      <c r="P59" s="36">
        <v>250</v>
      </c>
    </row>
    <row r="60" spans="1:16" outlineLevel="1" x14ac:dyDescent="0.2">
      <c r="A60" s="132" t="s">
        <v>31</v>
      </c>
      <c r="B60" s="36">
        <v>100</v>
      </c>
      <c r="C60" s="34"/>
      <c r="D60" s="36">
        <v>100</v>
      </c>
      <c r="E60" s="50"/>
      <c r="F60" s="36">
        <v>100</v>
      </c>
      <c r="G60" s="34"/>
      <c r="H60" s="36">
        <v>100</v>
      </c>
      <c r="J60" s="36">
        <v>100</v>
      </c>
      <c r="K60" s="34"/>
      <c r="L60" s="36">
        <v>100</v>
      </c>
      <c r="M60" s="34"/>
      <c r="N60" s="36">
        <v>100</v>
      </c>
      <c r="O60" s="34"/>
      <c r="P60" s="36">
        <v>100</v>
      </c>
    </row>
    <row r="61" spans="1:16" outlineLevel="1" x14ac:dyDescent="0.2">
      <c r="A61" s="132" t="s">
        <v>32</v>
      </c>
      <c r="B61" s="36">
        <v>250</v>
      </c>
      <c r="C61" s="167"/>
      <c r="D61" s="36">
        <v>250</v>
      </c>
      <c r="E61" s="50"/>
      <c r="F61" s="36">
        <v>250</v>
      </c>
      <c r="G61" s="167"/>
      <c r="H61" s="36">
        <v>250</v>
      </c>
      <c r="J61" s="36">
        <v>250</v>
      </c>
      <c r="K61" s="34"/>
      <c r="L61" s="36">
        <v>250</v>
      </c>
      <c r="M61" s="34"/>
      <c r="N61" s="36">
        <v>250</v>
      </c>
      <c r="O61" s="167"/>
      <c r="P61" s="36">
        <v>250</v>
      </c>
    </row>
    <row r="62" spans="1:16" outlineLevel="1" x14ac:dyDescent="0.2">
      <c r="A62" s="132" t="s">
        <v>33</v>
      </c>
      <c r="B62" s="36">
        <v>250</v>
      </c>
      <c r="C62" s="167"/>
      <c r="D62" s="36">
        <v>250</v>
      </c>
      <c r="E62" s="50"/>
      <c r="F62" s="36">
        <v>250</v>
      </c>
      <c r="G62" s="167"/>
      <c r="H62" s="36">
        <v>250</v>
      </c>
      <c r="J62" s="36">
        <v>250</v>
      </c>
      <c r="K62" s="34"/>
      <c r="L62" s="36">
        <v>250</v>
      </c>
      <c r="M62" s="34"/>
      <c r="N62" s="36">
        <v>250</v>
      </c>
      <c r="O62" s="167"/>
      <c r="P62" s="36">
        <v>250</v>
      </c>
    </row>
    <row r="63" spans="1:16" outlineLevel="1" x14ac:dyDescent="0.2">
      <c r="A63" s="160" t="s">
        <v>34</v>
      </c>
      <c r="B63" s="126">
        <v>500</v>
      </c>
      <c r="C63" s="169"/>
      <c r="D63" s="126">
        <v>500</v>
      </c>
      <c r="E63" s="127"/>
      <c r="F63" s="126">
        <v>500</v>
      </c>
      <c r="G63" s="169"/>
      <c r="H63" s="126">
        <v>500</v>
      </c>
      <c r="J63" s="36">
        <v>500</v>
      </c>
      <c r="K63" s="34"/>
      <c r="L63" s="36">
        <v>500</v>
      </c>
      <c r="M63" s="34"/>
      <c r="N63" s="36">
        <v>500</v>
      </c>
      <c r="O63" s="167"/>
      <c r="P63" s="36">
        <v>500</v>
      </c>
    </row>
    <row r="64" spans="1:16" outlineLevel="1" x14ac:dyDescent="0.2">
      <c r="A64" s="157" t="s">
        <v>189</v>
      </c>
      <c r="B64" s="37"/>
      <c r="C64" s="168"/>
      <c r="D64" s="37"/>
      <c r="E64" s="51"/>
      <c r="F64" s="37"/>
      <c r="G64" s="168"/>
      <c r="H64" s="37"/>
      <c r="J64" s="37"/>
      <c r="K64" s="166"/>
      <c r="L64" s="37"/>
      <c r="M64" s="166"/>
      <c r="N64" s="37"/>
      <c r="O64" s="168"/>
      <c r="P64" s="37"/>
    </row>
    <row r="65" spans="1:16" x14ac:dyDescent="0.2">
      <c r="A65" s="132" t="s">
        <v>35</v>
      </c>
      <c r="B65" s="41">
        <f>SUM(B59:B64)</f>
        <v>1350</v>
      </c>
      <c r="D65" s="41">
        <f>SUM(D59:D64)</f>
        <v>1350</v>
      </c>
      <c r="E65" s="53"/>
      <c r="F65" s="41">
        <f>SUM(F59:F64)</f>
        <v>1350</v>
      </c>
      <c r="H65" s="41">
        <f>SUM(H59:H64)</f>
        <v>1350</v>
      </c>
      <c r="J65" s="2">
        <f>SUM(J59:J64)</f>
        <v>1350</v>
      </c>
      <c r="K65" s="2"/>
      <c r="L65" s="2">
        <f>SUM(L59:L64)</f>
        <v>1350</v>
      </c>
      <c r="M65" s="2"/>
      <c r="N65" s="2">
        <f>SUM(N59:N64)</f>
        <v>1350</v>
      </c>
      <c r="O65" s="10"/>
      <c r="P65" s="2">
        <f>SUM(P59:P64)</f>
        <v>1350</v>
      </c>
    </row>
    <row r="66" spans="1:16" outlineLevel="1" x14ac:dyDescent="0.2">
      <c r="A66" s="132" t="s">
        <v>36</v>
      </c>
      <c r="B66" s="36">
        <v>0</v>
      </c>
      <c r="C66" s="34"/>
      <c r="D66" s="36">
        <v>0</v>
      </c>
      <c r="E66" s="50"/>
      <c r="F66" s="36">
        <v>500</v>
      </c>
      <c r="G66" s="34"/>
      <c r="H66" s="36">
        <v>0</v>
      </c>
      <c r="J66" s="36">
        <v>0</v>
      </c>
      <c r="K66" s="34"/>
      <c r="L66" s="36">
        <v>0</v>
      </c>
      <c r="M66" s="34"/>
      <c r="N66" s="36">
        <v>500</v>
      </c>
      <c r="O66" s="34"/>
      <c r="P66" s="36">
        <v>0</v>
      </c>
    </row>
    <row r="67" spans="1:16" outlineLevel="1" x14ac:dyDescent="0.2">
      <c r="A67" s="157" t="s">
        <v>37</v>
      </c>
      <c r="B67" s="37">
        <v>0</v>
      </c>
      <c r="C67" s="166"/>
      <c r="D67" s="37">
        <v>0</v>
      </c>
      <c r="E67" s="51"/>
      <c r="F67" s="37">
        <v>0</v>
      </c>
      <c r="G67" s="166"/>
      <c r="H67" s="37">
        <v>0</v>
      </c>
      <c r="J67" s="37">
        <v>0</v>
      </c>
      <c r="K67" s="166"/>
      <c r="L67" s="37">
        <v>0</v>
      </c>
      <c r="M67" s="166"/>
      <c r="N67" s="37">
        <v>0</v>
      </c>
      <c r="O67" s="166"/>
      <c r="P67" s="37">
        <v>0</v>
      </c>
    </row>
    <row r="68" spans="1:16" x14ac:dyDescent="0.2">
      <c r="A68" s="132" t="s">
        <v>38</v>
      </c>
      <c r="B68" s="41">
        <f>SUM(B66:B67)</f>
        <v>0</v>
      </c>
      <c r="C68" s="41"/>
      <c r="D68" s="41">
        <f>SUM(D66:D67)</f>
        <v>0</v>
      </c>
      <c r="E68" s="53"/>
      <c r="F68" s="41">
        <f>SUM(F66:F67)</f>
        <v>500</v>
      </c>
      <c r="G68" s="41"/>
      <c r="H68" s="41">
        <f>SUM(H66:H67)</f>
        <v>0</v>
      </c>
      <c r="J68" s="2">
        <f>SUM(J66:J67)</f>
        <v>0</v>
      </c>
      <c r="K68" s="2"/>
      <c r="L68" s="2">
        <f>SUM(L66:L67)</f>
        <v>0</v>
      </c>
      <c r="M68" s="2"/>
      <c r="N68" s="2">
        <f>SUM(N66:N67)</f>
        <v>500</v>
      </c>
      <c r="O68" s="2"/>
      <c r="P68" s="2">
        <f>SUM(P66:P67)</f>
        <v>0</v>
      </c>
    </row>
    <row r="69" spans="1:16" outlineLevel="1" x14ac:dyDescent="0.2">
      <c r="A69" s="132" t="s">
        <v>39</v>
      </c>
      <c r="B69" s="36">
        <v>50</v>
      </c>
      <c r="C69" s="34"/>
      <c r="D69" s="36">
        <v>50</v>
      </c>
      <c r="E69" s="50"/>
      <c r="F69" s="36">
        <v>50</v>
      </c>
      <c r="G69" s="34"/>
      <c r="H69" s="36">
        <v>50</v>
      </c>
      <c r="J69" s="36">
        <v>50</v>
      </c>
      <c r="K69" s="34"/>
      <c r="L69" s="36">
        <v>50</v>
      </c>
      <c r="M69" s="34"/>
      <c r="N69" s="36">
        <v>50</v>
      </c>
      <c r="O69" s="34"/>
      <c r="P69" s="36">
        <v>50</v>
      </c>
    </row>
    <row r="70" spans="1:16" outlineLevel="1" x14ac:dyDescent="0.2">
      <c r="A70" s="157" t="s">
        <v>40</v>
      </c>
      <c r="B70" s="37">
        <v>250</v>
      </c>
      <c r="C70" s="166"/>
      <c r="D70" s="37">
        <v>250</v>
      </c>
      <c r="E70" s="51"/>
      <c r="F70" s="37">
        <v>250</v>
      </c>
      <c r="G70" s="166"/>
      <c r="H70" s="37">
        <v>250</v>
      </c>
      <c r="J70" s="37">
        <v>250</v>
      </c>
      <c r="K70" s="166"/>
      <c r="L70" s="37">
        <v>250</v>
      </c>
      <c r="M70" s="166"/>
      <c r="N70" s="37">
        <v>250</v>
      </c>
      <c r="O70" s="166"/>
      <c r="P70" s="37">
        <v>250</v>
      </c>
    </row>
    <row r="71" spans="1:16" x14ac:dyDescent="0.2">
      <c r="A71" s="132" t="s">
        <v>41</v>
      </c>
      <c r="B71" s="41">
        <f>SUM(B69:B70)</f>
        <v>300</v>
      </c>
      <c r="C71" s="41"/>
      <c r="D71" s="41">
        <f>SUM(D69:D70)</f>
        <v>300</v>
      </c>
      <c r="E71" s="53"/>
      <c r="F71" s="41">
        <f>SUM(F69:F70)</f>
        <v>300</v>
      </c>
      <c r="G71" s="41"/>
      <c r="H71" s="41">
        <f>SUM(H69:H70)</f>
        <v>300</v>
      </c>
      <c r="J71" s="2">
        <f>SUM(J69:J70)</f>
        <v>300</v>
      </c>
      <c r="K71" s="2"/>
      <c r="L71" s="2">
        <f>SUM(L69:L70)</f>
        <v>300</v>
      </c>
      <c r="M71" s="2"/>
      <c r="N71" s="2">
        <f>SUM(N69:N70)</f>
        <v>300</v>
      </c>
      <c r="O71" s="2"/>
      <c r="P71" s="2">
        <f>SUM(P69:P70)</f>
        <v>300</v>
      </c>
    </row>
    <row r="72" spans="1:16" outlineLevel="1" x14ac:dyDescent="0.2">
      <c r="A72" s="132" t="s">
        <v>94</v>
      </c>
      <c r="B72" s="36">
        <v>0</v>
      </c>
      <c r="C72" s="167"/>
      <c r="D72" s="36">
        <v>250</v>
      </c>
      <c r="E72" s="50"/>
      <c r="F72" s="36">
        <v>0</v>
      </c>
      <c r="G72" s="167"/>
      <c r="H72" s="36">
        <v>0</v>
      </c>
      <c r="J72" s="36">
        <v>250</v>
      </c>
      <c r="K72" s="34"/>
      <c r="L72" s="36">
        <v>250</v>
      </c>
      <c r="M72" s="34"/>
      <c r="N72" s="36">
        <v>0</v>
      </c>
      <c r="O72" s="167"/>
      <c r="P72" s="36">
        <v>0</v>
      </c>
    </row>
    <row r="73" spans="1:16" outlineLevel="1" x14ac:dyDescent="0.2">
      <c r="A73" s="132" t="s">
        <v>95</v>
      </c>
      <c r="B73" s="36">
        <v>0</v>
      </c>
      <c r="C73" s="167"/>
      <c r="D73" s="36">
        <v>100</v>
      </c>
      <c r="E73" s="50"/>
      <c r="F73" s="36">
        <v>0</v>
      </c>
      <c r="G73" s="167"/>
      <c r="H73" s="36">
        <v>0</v>
      </c>
      <c r="J73" s="36">
        <v>100</v>
      </c>
      <c r="K73" s="34"/>
      <c r="L73" s="36">
        <v>100</v>
      </c>
      <c r="M73" s="34"/>
      <c r="N73" s="36">
        <v>0</v>
      </c>
      <c r="O73" s="167"/>
      <c r="P73" s="36">
        <v>0</v>
      </c>
    </row>
    <row r="74" spans="1:16" outlineLevel="1" x14ac:dyDescent="0.2">
      <c r="A74" s="132" t="s">
        <v>96</v>
      </c>
      <c r="B74" s="36">
        <v>0</v>
      </c>
      <c r="C74" s="167"/>
      <c r="D74" s="36">
        <v>300</v>
      </c>
      <c r="E74" s="50"/>
      <c r="F74" s="36">
        <v>0</v>
      </c>
      <c r="G74" s="167"/>
      <c r="H74" s="36">
        <v>0</v>
      </c>
      <c r="J74" s="36">
        <v>300</v>
      </c>
      <c r="K74" s="34"/>
      <c r="L74" s="36">
        <v>300</v>
      </c>
      <c r="M74" s="34"/>
      <c r="N74" s="36">
        <v>0</v>
      </c>
      <c r="O74" s="167"/>
      <c r="P74" s="36">
        <v>0</v>
      </c>
    </row>
    <row r="75" spans="1:16" outlineLevel="1" x14ac:dyDescent="0.2">
      <c r="A75" s="132" t="s">
        <v>42</v>
      </c>
      <c r="B75" s="36">
        <v>50</v>
      </c>
      <c r="C75" s="167"/>
      <c r="D75" s="36">
        <v>50</v>
      </c>
      <c r="E75" s="50"/>
      <c r="F75" s="36">
        <v>50</v>
      </c>
      <c r="G75" s="167"/>
      <c r="H75" s="36">
        <v>50</v>
      </c>
      <c r="J75" s="36">
        <v>50</v>
      </c>
      <c r="K75" s="34"/>
      <c r="L75" s="36">
        <v>50</v>
      </c>
      <c r="M75" s="34"/>
      <c r="N75" s="36">
        <v>50</v>
      </c>
      <c r="O75" s="167"/>
      <c r="P75" s="36">
        <v>50</v>
      </c>
    </row>
    <row r="76" spans="1:16" outlineLevel="1" x14ac:dyDescent="0.2">
      <c r="A76" s="161" t="s">
        <v>43</v>
      </c>
      <c r="B76" s="41"/>
      <c r="D76" s="41"/>
      <c r="E76" s="53"/>
      <c r="F76" s="41"/>
      <c r="H76" s="41"/>
      <c r="J76" s="2"/>
      <c r="K76" s="2"/>
      <c r="L76" s="2"/>
      <c r="M76" s="2"/>
      <c r="N76" s="2"/>
      <c r="O76" s="10"/>
      <c r="P76" s="2"/>
    </row>
    <row r="77" spans="1:16" outlineLevel="1" x14ac:dyDescent="0.2">
      <c r="A77" s="132" t="s">
        <v>44</v>
      </c>
      <c r="B77" s="36">
        <v>100</v>
      </c>
      <c r="C77" s="167"/>
      <c r="D77" s="36">
        <v>100</v>
      </c>
      <c r="E77" s="50"/>
      <c r="F77" s="36">
        <v>100</v>
      </c>
      <c r="G77" s="167"/>
      <c r="H77" s="36">
        <v>100</v>
      </c>
      <c r="J77" s="36">
        <v>100</v>
      </c>
      <c r="K77" s="34"/>
      <c r="L77" s="36">
        <v>100</v>
      </c>
      <c r="M77" s="34"/>
      <c r="N77" s="36">
        <v>100</v>
      </c>
      <c r="O77" s="167"/>
      <c r="P77" s="36">
        <v>100</v>
      </c>
    </row>
    <row r="78" spans="1:16" outlineLevel="1" x14ac:dyDescent="0.2">
      <c r="A78" s="132" t="s">
        <v>45</v>
      </c>
      <c r="B78" s="36">
        <v>50</v>
      </c>
      <c r="C78" s="167"/>
      <c r="D78" s="36">
        <v>50</v>
      </c>
      <c r="E78" s="50"/>
      <c r="F78" s="36">
        <v>50</v>
      </c>
      <c r="G78" s="167"/>
      <c r="H78" s="36">
        <v>50</v>
      </c>
      <c r="J78" s="36">
        <v>50</v>
      </c>
      <c r="K78" s="34"/>
      <c r="L78" s="36">
        <v>50</v>
      </c>
      <c r="M78" s="34"/>
      <c r="N78" s="36">
        <v>50</v>
      </c>
      <c r="O78" s="167"/>
      <c r="P78" s="36">
        <v>50</v>
      </c>
    </row>
    <row r="79" spans="1:16" outlineLevel="1" x14ac:dyDescent="0.2">
      <c r="A79" s="132" t="s">
        <v>46</v>
      </c>
      <c r="B79" s="36">
        <v>250</v>
      </c>
      <c r="C79" s="167"/>
      <c r="D79" s="36">
        <f>250+150</f>
        <v>400</v>
      </c>
      <c r="E79" s="50"/>
      <c r="F79" s="36">
        <v>250</v>
      </c>
      <c r="G79" s="167"/>
      <c r="H79" s="36">
        <v>250</v>
      </c>
      <c r="J79" s="36">
        <f>250+150</f>
        <v>400</v>
      </c>
      <c r="K79" s="34"/>
      <c r="L79" s="36">
        <f>250+150</f>
        <v>400</v>
      </c>
      <c r="M79" s="34"/>
      <c r="N79" s="36">
        <v>250</v>
      </c>
      <c r="O79" s="167"/>
      <c r="P79" s="36">
        <v>250</v>
      </c>
    </row>
    <row r="80" spans="1:16" outlineLevel="1" x14ac:dyDescent="0.2">
      <c r="A80" s="132" t="s">
        <v>97</v>
      </c>
      <c r="B80" s="36"/>
      <c r="C80" s="167"/>
      <c r="D80" s="36">
        <v>2500</v>
      </c>
      <c r="E80" s="50"/>
      <c r="F80" s="36"/>
      <c r="G80" s="167"/>
      <c r="H80" s="36"/>
      <c r="J80" s="36">
        <v>2500</v>
      </c>
      <c r="K80" s="34"/>
      <c r="L80" s="36">
        <v>2500</v>
      </c>
      <c r="M80" s="34"/>
      <c r="N80" s="36"/>
      <c r="O80" s="167"/>
      <c r="P80" s="36"/>
    </row>
    <row r="81" spans="1:16" outlineLevel="1" x14ac:dyDescent="0.2">
      <c r="A81" s="132" t="s">
        <v>47</v>
      </c>
      <c r="B81" s="36">
        <v>0</v>
      </c>
      <c r="C81" s="167"/>
      <c r="D81" s="36">
        <v>0</v>
      </c>
      <c r="E81" s="50"/>
      <c r="F81" s="36">
        <v>500</v>
      </c>
      <c r="G81" s="167"/>
      <c r="H81" s="36">
        <v>0</v>
      </c>
      <c r="J81" s="36">
        <v>0</v>
      </c>
      <c r="K81" s="34"/>
      <c r="L81" s="36">
        <v>0</v>
      </c>
      <c r="M81" s="34"/>
      <c r="N81" s="36">
        <v>500</v>
      </c>
      <c r="O81" s="167"/>
      <c r="P81" s="36">
        <v>0</v>
      </c>
    </row>
    <row r="82" spans="1:16" outlineLevel="1" x14ac:dyDescent="0.2">
      <c r="A82" s="140" t="s">
        <v>194</v>
      </c>
      <c r="B82" s="36">
        <v>50</v>
      </c>
      <c r="C82" s="167"/>
      <c r="D82" s="36"/>
      <c r="E82" s="50"/>
      <c r="F82" s="36"/>
      <c r="G82" s="167"/>
      <c r="H82" s="36"/>
      <c r="J82" s="36"/>
      <c r="K82" s="34"/>
      <c r="L82" s="36"/>
      <c r="M82" s="34"/>
      <c r="N82" s="36"/>
      <c r="O82" s="167"/>
      <c r="P82" s="36"/>
    </row>
    <row r="83" spans="1:16" outlineLevel="1" x14ac:dyDescent="0.2">
      <c r="A83" s="140" t="s">
        <v>33</v>
      </c>
      <c r="B83" s="36"/>
      <c r="C83" s="167"/>
      <c r="D83" s="36">
        <v>80</v>
      </c>
      <c r="E83" s="50"/>
      <c r="F83" s="36"/>
      <c r="G83" s="167"/>
      <c r="H83" s="36"/>
      <c r="J83" s="36">
        <v>80</v>
      </c>
      <c r="K83" s="34"/>
      <c r="L83" s="36">
        <v>80</v>
      </c>
      <c r="M83" s="34"/>
      <c r="N83" s="36"/>
      <c r="O83" s="167"/>
      <c r="P83" s="36"/>
    </row>
    <row r="84" spans="1:16" outlineLevel="1" x14ac:dyDescent="0.2">
      <c r="A84" s="140" t="s">
        <v>195</v>
      </c>
      <c r="B84" s="36"/>
      <c r="C84" s="167"/>
      <c r="D84" s="36"/>
      <c r="E84" s="50"/>
      <c r="F84" s="36"/>
      <c r="G84" s="167"/>
      <c r="H84" s="36"/>
      <c r="J84" s="36"/>
      <c r="K84" s="34"/>
      <c r="L84" s="36"/>
      <c r="M84" s="34"/>
      <c r="N84" s="36"/>
      <c r="O84" s="167"/>
      <c r="P84" s="36"/>
    </row>
    <row r="85" spans="1:16" outlineLevel="1" x14ac:dyDescent="0.2">
      <c r="A85" s="140" t="s">
        <v>196</v>
      </c>
      <c r="B85" s="36"/>
      <c r="C85" s="167"/>
      <c r="D85" s="36"/>
      <c r="E85" s="50"/>
      <c r="F85" s="36">
        <v>250</v>
      </c>
      <c r="G85" s="167"/>
      <c r="H85" s="36">
        <v>250</v>
      </c>
      <c r="J85" s="36"/>
      <c r="K85" s="34"/>
      <c r="L85" s="36"/>
      <c r="M85" s="34"/>
      <c r="N85" s="36">
        <v>250</v>
      </c>
      <c r="O85" s="167"/>
      <c r="P85" s="36">
        <v>250</v>
      </c>
    </row>
    <row r="86" spans="1:16" outlineLevel="1" x14ac:dyDescent="0.2">
      <c r="A86" s="132" t="s">
        <v>48</v>
      </c>
      <c r="B86" s="36">
        <v>0</v>
      </c>
      <c r="C86" s="167"/>
      <c r="D86" s="36">
        <v>0</v>
      </c>
      <c r="E86" s="50"/>
      <c r="F86" s="36">
        <v>18</v>
      </c>
      <c r="G86" s="167"/>
      <c r="H86" s="36">
        <v>0</v>
      </c>
      <c r="J86" s="36">
        <v>0</v>
      </c>
      <c r="K86" s="34"/>
      <c r="L86" s="36">
        <v>0</v>
      </c>
      <c r="M86" s="34"/>
      <c r="N86" s="36">
        <v>18</v>
      </c>
      <c r="O86" s="167"/>
      <c r="P86" s="36">
        <v>0</v>
      </c>
    </row>
    <row r="87" spans="1:16" outlineLevel="1" x14ac:dyDescent="0.2">
      <c r="A87" s="132" t="s">
        <v>198</v>
      </c>
      <c r="B87" s="36">
        <v>15</v>
      </c>
      <c r="C87" s="167"/>
      <c r="D87" s="36">
        <v>15</v>
      </c>
      <c r="E87" s="50"/>
      <c r="F87" s="36">
        <v>15</v>
      </c>
      <c r="G87" s="167"/>
      <c r="H87" s="36">
        <v>15</v>
      </c>
      <c r="J87" s="36">
        <v>15</v>
      </c>
      <c r="K87" s="34"/>
      <c r="L87" s="36">
        <v>15</v>
      </c>
      <c r="M87" s="34"/>
      <c r="N87" s="36">
        <v>15</v>
      </c>
      <c r="O87" s="167"/>
      <c r="P87" s="36">
        <v>15</v>
      </c>
    </row>
    <row r="88" spans="1:16" outlineLevel="1" x14ac:dyDescent="0.2">
      <c r="A88" s="160" t="s">
        <v>197</v>
      </c>
      <c r="B88" s="36"/>
      <c r="C88" s="167"/>
      <c r="D88" s="36"/>
      <c r="E88" s="50"/>
      <c r="F88" s="36"/>
      <c r="G88" s="167"/>
      <c r="H88" s="36"/>
      <c r="J88" s="36"/>
      <c r="K88" s="34"/>
      <c r="L88" s="36"/>
      <c r="M88" s="34"/>
      <c r="N88" s="36"/>
      <c r="O88" s="167"/>
      <c r="P88" s="36"/>
    </row>
    <row r="89" spans="1:16" ht="16.5" outlineLevel="1" x14ac:dyDescent="0.25">
      <c r="A89" s="162" t="s">
        <v>203</v>
      </c>
      <c r="B89" s="36"/>
      <c r="C89" s="167"/>
      <c r="D89" s="36">
        <v>300</v>
      </c>
      <c r="E89" s="50"/>
      <c r="F89" s="36"/>
      <c r="G89" s="167"/>
      <c r="H89" s="36"/>
      <c r="J89" s="36">
        <v>300</v>
      </c>
      <c r="K89" s="34"/>
      <c r="L89" s="36">
        <v>300</v>
      </c>
      <c r="M89" s="34"/>
      <c r="N89" s="36"/>
      <c r="O89" s="167"/>
      <c r="P89" s="36"/>
    </row>
    <row r="90" spans="1:16" ht="16.5" outlineLevel="1" x14ac:dyDescent="0.25">
      <c r="A90" s="162" t="s">
        <v>204</v>
      </c>
      <c r="B90" s="36"/>
      <c r="C90" s="167"/>
      <c r="D90" s="36"/>
      <c r="E90" s="50"/>
      <c r="F90" s="36"/>
      <c r="G90" s="167"/>
      <c r="H90" s="36"/>
      <c r="J90" s="36"/>
      <c r="K90" s="34"/>
      <c r="L90" s="36"/>
      <c r="M90" s="34"/>
      <c r="N90" s="36"/>
      <c r="O90" s="167"/>
      <c r="P90" s="36"/>
    </row>
    <row r="91" spans="1:16" ht="16.5" outlineLevel="1" x14ac:dyDescent="0.25">
      <c r="A91" s="162" t="s">
        <v>356</v>
      </c>
      <c r="B91" s="36"/>
      <c r="C91" s="167"/>
      <c r="D91" s="36"/>
      <c r="E91" s="50"/>
      <c r="F91" s="36"/>
      <c r="G91" s="167"/>
      <c r="H91" s="36"/>
      <c r="J91" s="36"/>
      <c r="K91" s="34"/>
      <c r="L91" s="36"/>
      <c r="M91" s="34"/>
      <c r="N91" s="36"/>
      <c r="O91" s="167"/>
      <c r="P91" s="36"/>
    </row>
    <row r="92" spans="1:16" outlineLevel="1" x14ac:dyDescent="0.2">
      <c r="A92" s="157" t="s">
        <v>199</v>
      </c>
      <c r="B92" s="37">
        <v>0</v>
      </c>
      <c r="C92" s="168"/>
      <c r="D92" s="37">
        <v>0</v>
      </c>
      <c r="E92" s="51"/>
      <c r="F92" s="37"/>
      <c r="G92" s="168"/>
      <c r="H92" s="37">
        <v>0</v>
      </c>
      <c r="J92" s="37">
        <v>0</v>
      </c>
      <c r="K92" s="166"/>
      <c r="L92" s="37">
        <v>0</v>
      </c>
      <c r="M92" s="166"/>
      <c r="N92" s="37"/>
      <c r="O92" s="168"/>
      <c r="P92" s="37">
        <v>0</v>
      </c>
    </row>
    <row r="93" spans="1:16" x14ac:dyDescent="0.2">
      <c r="A93" s="132" t="s">
        <v>50</v>
      </c>
      <c r="B93" s="41">
        <f>SUM(B72:B92)</f>
        <v>515</v>
      </c>
      <c r="D93" s="41">
        <f>SUM(D72:D92)</f>
        <v>4145</v>
      </c>
      <c r="E93" s="53"/>
      <c r="F93" s="41">
        <f>SUM(F72:F92)</f>
        <v>1233</v>
      </c>
      <c r="H93" s="41">
        <f>SUM(H72:H92)</f>
        <v>715</v>
      </c>
      <c r="J93" s="2">
        <f>SUM(J72:J92)</f>
        <v>4145</v>
      </c>
      <c r="K93" s="2"/>
      <c r="L93" s="2">
        <f>SUM(L72:L92)</f>
        <v>4145</v>
      </c>
      <c r="M93" s="2"/>
      <c r="N93" s="2">
        <f>SUM(N72:N92)</f>
        <v>1233</v>
      </c>
      <c r="O93" s="10"/>
      <c r="P93" s="2">
        <f>SUM(P72:P92)</f>
        <v>715</v>
      </c>
    </row>
    <row r="94" spans="1:16" x14ac:dyDescent="0.2">
      <c r="A94" s="157" t="s">
        <v>202</v>
      </c>
      <c r="B94" s="37">
        <v>1500</v>
      </c>
      <c r="C94" s="168"/>
      <c r="D94" s="37"/>
      <c r="E94" s="51"/>
      <c r="F94" s="37"/>
      <c r="G94" s="168"/>
      <c r="H94" s="37">
        <v>0</v>
      </c>
      <c r="J94" s="37"/>
      <c r="K94" s="166"/>
      <c r="L94" s="37"/>
      <c r="M94" s="166"/>
      <c r="N94" s="37"/>
      <c r="O94" s="168"/>
      <c r="P94" s="37">
        <v>0</v>
      </c>
    </row>
    <row r="95" spans="1:16" ht="15.75" x14ac:dyDescent="0.25">
      <c r="A95" s="160" t="s">
        <v>257</v>
      </c>
      <c r="B95" s="126"/>
      <c r="C95" s="173"/>
      <c r="D95" s="126">
        <f>B95</f>
        <v>0</v>
      </c>
      <c r="E95" s="127"/>
      <c r="F95" s="126">
        <f>D95</f>
        <v>0</v>
      </c>
      <c r="G95" s="173"/>
      <c r="H95" s="126">
        <f>F95</f>
        <v>0</v>
      </c>
      <c r="J95" s="126">
        <f>H95</f>
        <v>0</v>
      </c>
      <c r="K95" s="173"/>
      <c r="L95" s="126">
        <f>J95</f>
        <v>0</v>
      </c>
      <c r="M95" s="173"/>
      <c r="N95" s="126">
        <f>L95</f>
        <v>0</v>
      </c>
      <c r="O95" s="173"/>
      <c r="P95" s="126">
        <f>N95</f>
        <v>0</v>
      </c>
    </row>
    <row r="96" spans="1:16" x14ac:dyDescent="0.2">
      <c r="A96" s="160" t="s">
        <v>213</v>
      </c>
      <c r="B96" s="127">
        <f>B95*0.5</f>
        <v>0</v>
      </c>
      <c r="C96" s="127"/>
      <c r="D96" s="127">
        <f t="shared" ref="D96:P96" si="0">D95*0.5</f>
        <v>0</v>
      </c>
      <c r="E96" s="127">
        <f t="shared" si="0"/>
        <v>0</v>
      </c>
      <c r="F96" s="127">
        <f t="shared" si="0"/>
        <v>0</v>
      </c>
      <c r="G96" s="127">
        <f t="shared" si="0"/>
        <v>0</v>
      </c>
      <c r="H96" s="127">
        <f t="shared" si="0"/>
        <v>0</v>
      </c>
      <c r="I96" s="127"/>
      <c r="J96" s="127">
        <f t="shared" si="0"/>
        <v>0</v>
      </c>
      <c r="K96" s="127">
        <f t="shared" si="0"/>
        <v>0</v>
      </c>
      <c r="L96" s="127">
        <f t="shared" si="0"/>
        <v>0</v>
      </c>
      <c r="M96" s="127">
        <f t="shared" si="0"/>
        <v>0</v>
      </c>
      <c r="N96" s="127">
        <f t="shared" si="0"/>
        <v>0</v>
      </c>
      <c r="O96" s="127"/>
      <c r="P96" s="127">
        <f t="shared" si="0"/>
        <v>0</v>
      </c>
    </row>
    <row r="97" spans="1:16" x14ac:dyDescent="0.2">
      <c r="A97" s="132" t="s">
        <v>250</v>
      </c>
      <c r="B97" s="41">
        <f>SUM(B94,B93,B71,B68,B65,B58,B53,B50,B47,B44,B96)</f>
        <v>6815</v>
      </c>
      <c r="C97" s="41"/>
      <c r="D97" s="41">
        <f t="shared" ref="D97:P97" si="1">SUM(D94,D93,D71,D68,D65,D58,D53,D50,D47,D44,D96)</f>
        <v>8945</v>
      </c>
      <c r="E97" s="41"/>
      <c r="F97" s="41">
        <f t="shared" si="1"/>
        <v>6533</v>
      </c>
      <c r="G97" s="41">
        <f t="shared" si="1"/>
        <v>0</v>
      </c>
      <c r="H97" s="41">
        <f t="shared" si="1"/>
        <v>5515</v>
      </c>
      <c r="I97" s="41"/>
      <c r="J97" s="41">
        <f t="shared" si="1"/>
        <v>8945</v>
      </c>
      <c r="K97" s="41">
        <f t="shared" si="1"/>
        <v>0</v>
      </c>
      <c r="L97" s="41">
        <f t="shared" si="1"/>
        <v>8945</v>
      </c>
      <c r="M97" s="41">
        <f t="shared" si="1"/>
        <v>0</v>
      </c>
      <c r="N97" s="41">
        <f t="shared" si="1"/>
        <v>6533</v>
      </c>
      <c r="O97" s="41"/>
      <c r="P97" s="41">
        <f t="shared" si="1"/>
        <v>5515</v>
      </c>
    </row>
    <row r="98" spans="1:16" x14ac:dyDescent="0.2">
      <c r="A98" s="132" t="s">
        <v>251</v>
      </c>
      <c r="B98" s="36">
        <v>0</v>
      </c>
      <c r="C98" s="167"/>
      <c r="D98" s="36">
        <v>0</v>
      </c>
      <c r="E98" s="50"/>
      <c r="F98" s="36">
        <v>0</v>
      </c>
      <c r="G98" s="167"/>
      <c r="H98" s="36">
        <v>0</v>
      </c>
      <c r="J98" s="36">
        <v>0</v>
      </c>
      <c r="K98" s="34"/>
      <c r="L98" s="36">
        <v>0</v>
      </c>
      <c r="M98" s="34"/>
      <c r="N98" s="36">
        <v>0</v>
      </c>
      <c r="O98" s="167"/>
      <c r="P98" s="36">
        <v>0</v>
      </c>
    </row>
    <row r="99" spans="1:16" x14ac:dyDescent="0.2">
      <c r="A99" s="132" t="s">
        <v>399</v>
      </c>
      <c r="B99" s="41">
        <f>IF(AND(B123="ja", $H$121&gt;0),(ROUND((B97+B106)*0.2,2)),0)</f>
        <v>1363</v>
      </c>
      <c r="C99" s="41"/>
      <c r="D99" s="41">
        <f t="shared" ref="D99:P99" si="2">IF(AND(D123="ja", $H$121&gt;0),(ROUND((D97+D106)*0.2,2)),0)</f>
        <v>7789</v>
      </c>
      <c r="E99" s="41">
        <f t="shared" si="2"/>
        <v>0</v>
      </c>
      <c r="F99" s="41">
        <f t="shared" si="2"/>
        <v>15106.6</v>
      </c>
      <c r="G99" s="41">
        <f t="shared" si="2"/>
        <v>0</v>
      </c>
      <c r="H99" s="41">
        <f t="shared" si="2"/>
        <v>1103</v>
      </c>
      <c r="I99" s="41"/>
      <c r="J99" s="41">
        <f t="shared" si="2"/>
        <v>1789</v>
      </c>
      <c r="K99" s="41">
        <f t="shared" si="2"/>
        <v>0</v>
      </c>
      <c r="L99" s="41">
        <f t="shared" si="2"/>
        <v>1789</v>
      </c>
      <c r="M99" s="41">
        <f t="shared" si="2"/>
        <v>0</v>
      </c>
      <c r="N99" s="41">
        <f t="shared" si="2"/>
        <v>1306.5999999999999</v>
      </c>
      <c r="O99" s="41"/>
      <c r="P99" s="41">
        <f t="shared" si="2"/>
        <v>1103</v>
      </c>
    </row>
    <row r="100" spans="1:16" x14ac:dyDescent="0.2">
      <c r="A100" s="157" t="s">
        <v>380</v>
      </c>
      <c r="B100" s="37">
        <v>0</v>
      </c>
      <c r="C100" s="166"/>
      <c r="D100" s="37">
        <v>0</v>
      </c>
      <c r="E100" s="51"/>
      <c r="F100" s="37"/>
      <c r="G100" s="166"/>
      <c r="H100" s="37">
        <v>0</v>
      </c>
      <c r="J100" s="37">
        <v>0</v>
      </c>
      <c r="K100" s="166"/>
      <c r="L100" s="37">
        <v>0</v>
      </c>
      <c r="M100" s="166"/>
      <c r="N100" s="37"/>
      <c r="O100" s="166"/>
      <c r="P100" s="37">
        <v>0</v>
      </c>
    </row>
    <row r="101" spans="1:16" x14ac:dyDescent="0.2">
      <c r="A101" s="160" t="s">
        <v>381</v>
      </c>
      <c r="B101" s="126"/>
      <c r="C101" s="173"/>
      <c r="D101" s="126"/>
      <c r="E101" s="127"/>
      <c r="F101" s="126">
        <f>'Ausfallkosten Reisewirtschaft'!D41</f>
        <v>50042</v>
      </c>
      <c r="G101" s="173"/>
      <c r="H101" s="126"/>
      <c r="J101" s="126"/>
      <c r="K101" s="173"/>
      <c r="L101" s="126"/>
      <c r="M101" s="173"/>
      <c r="N101" s="126"/>
      <c r="O101" s="173"/>
      <c r="P101" s="126"/>
    </row>
    <row r="102" spans="1:16" x14ac:dyDescent="0.2">
      <c r="A102" s="160" t="s">
        <v>248</v>
      </c>
      <c r="B102" s="126"/>
      <c r="C102" s="173"/>
      <c r="D102" s="126"/>
      <c r="E102" s="127"/>
      <c r="F102" s="126"/>
      <c r="G102" s="173"/>
      <c r="H102" s="126"/>
      <c r="J102" s="126"/>
      <c r="K102" s="173"/>
      <c r="L102" s="126"/>
      <c r="M102" s="173"/>
      <c r="N102" s="126"/>
      <c r="O102" s="173"/>
      <c r="P102" s="126"/>
    </row>
    <row r="103" spans="1:16" x14ac:dyDescent="0.2">
      <c r="A103" s="160" t="s">
        <v>249</v>
      </c>
      <c r="B103" s="126"/>
      <c r="C103" s="173"/>
      <c r="D103" s="126"/>
      <c r="E103" s="127"/>
      <c r="F103" s="126"/>
      <c r="G103" s="173"/>
      <c r="H103" s="126"/>
      <c r="J103" s="126"/>
      <c r="K103" s="173"/>
      <c r="L103" s="126"/>
      <c r="M103" s="173"/>
      <c r="N103" s="126"/>
      <c r="O103" s="173"/>
      <c r="P103" s="126"/>
    </row>
    <row r="104" spans="1:16" x14ac:dyDescent="0.2">
      <c r="A104" s="160" t="s">
        <v>214</v>
      </c>
      <c r="B104" s="126"/>
      <c r="C104" s="173"/>
      <c r="D104" s="126"/>
      <c r="E104" s="127"/>
      <c r="F104" s="126"/>
      <c r="G104" s="173"/>
      <c r="H104" s="126"/>
      <c r="J104" s="126"/>
      <c r="K104" s="173"/>
      <c r="L104" s="126"/>
      <c r="M104" s="173"/>
      <c r="N104" s="126"/>
      <c r="O104" s="173"/>
      <c r="P104" s="126"/>
    </row>
    <row r="105" spans="1:16" x14ac:dyDescent="0.2">
      <c r="A105" s="160" t="s">
        <v>215</v>
      </c>
      <c r="B105" s="126"/>
      <c r="C105" s="173"/>
      <c r="D105" s="126"/>
      <c r="E105" s="127"/>
      <c r="F105" s="126">
        <f>'Ausfallkosten Veranstaltungen'!D62</f>
        <v>29</v>
      </c>
      <c r="G105" s="173"/>
      <c r="H105" s="126"/>
      <c r="J105" s="126"/>
      <c r="K105" s="173"/>
      <c r="L105" s="126"/>
      <c r="M105" s="173"/>
      <c r="N105" s="126"/>
      <c r="O105" s="173"/>
      <c r="P105" s="126"/>
    </row>
    <row r="106" spans="1:16" x14ac:dyDescent="0.2">
      <c r="A106" s="160" t="s">
        <v>254</v>
      </c>
      <c r="B106" s="126"/>
      <c r="C106" s="173"/>
      <c r="D106" s="126">
        <v>30000</v>
      </c>
      <c r="E106" s="127"/>
      <c r="F106" s="126">
        <f>'Ermittlung Teilwert-AfA Handel'!F13</f>
        <v>69000</v>
      </c>
      <c r="G106" s="173"/>
      <c r="H106" s="126"/>
      <c r="J106" s="126"/>
      <c r="K106" s="173"/>
      <c r="L106" s="126"/>
      <c r="M106" s="173"/>
      <c r="N106" s="126"/>
      <c r="O106" s="173"/>
      <c r="P106" s="126"/>
    </row>
    <row r="107" spans="1:16" x14ac:dyDescent="0.2">
      <c r="A107" s="160" t="s">
        <v>354</v>
      </c>
      <c r="B107" s="126"/>
      <c r="C107" s="173"/>
      <c r="D107" s="126"/>
      <c r="E107" s="127"/>
      <c r="F107" s="126"/>
      <c r="G107" s="173"/>
      <c r="H107" s="126"/>
      <c r="J107" s="126"/>
      <c r="K107" s="173"/>
      <c r="L107" s="126"/>
      <c r="M107" s="173"/>
      <c r="N107" s="126"/>
      <c r="O107" s="173"/>
      <c r="P107" s="126"/>
    </row>
    <row r="108" spans="1:16" x14ac:dyDescent="0.2">
      <c r="A108" s="160" t="s">
        <v>355</v>
      </c>
      <c r="B108" s="126"/>
      <c r="C108" s="173"/>
      <c r="D108" s="126"/>
      <c r="E108" s="127"/>
      <c r="F108" s="126"/>
      <c r="G108" s="173"/>
      <c r="H108" s="126"/>
      <c r="J108" s="126"/>
      <c r="K108" s="173"/>
      <c r="L108" s="126"/>
      <c r="M108" s="173"/>
      <c r="N108" s="126"/>
      <c r="O108" s="173"/>
      <c r="P108" s="126"/>
    </row>
    <row r="109" spans="1:16" s="136" customFormat="1" ht="15.75" x14ac:dyDescent="0.25">
      <c r="A109" s="136" t="s">
        <v>54</v>
      </c>
      <c r="B109" s="175">
        <f>SUM(B97:B100)+B96+B102+B103+B104+B105+B106+B107+B108</f>
        <v>8178</v>
      </c>
      <c r="C109" s="175"/>
      <c r="D109" s="175">
        <f t="shared" ref="D109:P109" si="3">SUM(D97:D100)+D96+D102+D103+D104+D105+D106+D107+D108</f>
        <v>46734</v>
      </c>
      <c r="E109" s="175">
        <f t="shared" si="3"/>
        <v>0</v>
      </c>
      <c r="F109" s="175">
        <f t="shared" si="3"/>
        <v>90668.6</v>
      </c>
      <c r="G109" s="175">
        <f t="shared" si="3"/>
        <v>0</v>
      </c>
      <c r="H109" s="175">
        <f t="shared" si="3"/>
        <v>6618</v>
      </c>
      <c r="I109" s="175"/>
      <c r="J109" s="175">
        <f t="shared" si="3"/>
        <v>10734</v>
      </c>
      <c r="K109" s="175">
        <f t="shared" si="3"/>
        <v>0</v>
      </c>
      <c r="L109" s="175">
        <f t="shared" si="3"/>
        <v>10734</v>
      </c>
      <c r="M109" s="175">
        <f t="shared" si="3"/>
        <v>0</v>
      </c>
      <c r="N109" s="175">
        <f t="shared" si="3"/>
        <v>7839.6</v>
      </c>
      <c r="O109" s="175"/>
      <c r="P109" s="175">
        <f t="shared" si="3"/>
        <v>6618</v>
      </c>
    </row>
    <row r="110" spans="1:16" x14ac:dyDescent="0.2">
      <c r="B110" s="41"/>
      <c r="C110" s="41"/>
      <c r="D110" s="41"/>
      <c r="E110" s="41"/>
      <c r="F110" s="41"/>
      <c r="G110" s="41"/>
      <c r="H110" s="41"/>
    </row>
    <row r="111" spans="1:16" x14ac:dyDescent="0.2">
      <c r="B111" s="41"/>
      <c r="C111" s="41"/>
      <c r="D111" s="41"/>
      <c r="E111" s="41"/>
      <c r="F111" s="41"/>
      <c r="G111" s="41"/>
      <c r="H111" s="41"/>
    </row>
    <row r="112" spans="1:16" ht="15.75" x14ac:dyDescent="0.25">
      <c r="A112" s="153" t="s">
        <v>56</v>
      </c>
      <c r="B112" s="41"/>
      <c r="C112" s="41"/>
      <c r="D112" s="41"/>
      <c r="E112" s="41"/>
      <c r="F112" s="41"/>
      <c r="G112" s="41"/>
      <c r="H112" s="41"/>
    </row>
    <row r="113" spans="1:16" hidden="1" x14ac:dyDescent="0.2">
      <c r="B113" s="41"/>
      <c r="C113" s="41"/>
      <c r="D113" s="41"/>
      <c r="E113" s="41"/>
      <c r="F113" s="41"/>
      <c r="G113" s="41"/>
      <c r="H113" s="41"/>
    </row>
    <row r="114" spans="1:16" hidden="1" x14ac:dyDescent="0.2">
      <c r="B114" s="163" t="s">
        <v>62</v>
      </c>
      <c r="C114" s="163"/>
      <c r="D114" s="163" t="s">
        <v>63</v>
      </c>
      <c r="E114" s="163"/>
      <c r="F114" s="163"/>
      <c r="G114" s="163"/>
      <c r="H114" s="163" t="s">
        <v>64</v>
      </c>
    </row>
    <row r="115" spans="1:16" hidden="1" x14ac:dyDescent="0.2">
      <c r="A115" s="132" t="s">
        <v>192</v>
      </c>
      <c r="B115" s="53">
        <f>Anspruchsvoraussetzung!B18</f>
        <v>5</v>
      </c>
      <c r="C115" s="41"/>
      <c r="D115" s="41">
        <v>0</v>
      </c>
      <c r="E115" s="41"/>
      <c r="F115" s="41"/>
      <c r="G115" s="41"/>
      <c r="H115" s="41">
        <f>+B115*D115</f>
        <v>0</v>
      </c>
    </row>
    <row r="116" spans="1:16" hidden="1" x14ac:dyDescent="0.2">
      <c r="A116" s="132" t="s">
        <v>58</v>
      </c>
      <c r="B116" s="53">
        <f>Anspruchsvoraussetzung!B19</f>
        <v>0</v>
      </c>
      <c r="C116" s="41"/>
      <c r="D116" s="41">
        <v>1</v>
      </c>
      <c r="E116" s="41"/>
      <c r="F116" s="41"/>
      <c r="G116" s="41"/>
      <c r="H116" s="41">
        <f>+B116*D116</f>
        <v>0</v>
      </c>
    </row>
    <row r="117" spans="1:16" hidden="1" x14ac:dyDescent="0.2">
      <c r="A117" s="132" t="s">
        <v>59</v>
      </c>
      <c r="B117" s="53">
        <f>Anspruchsvoraussetzung!B20</f>
        <v>0</v>
      </c>
      <c r="C117" s="41"/>
      <c r="D117" s="41">
        <v>0.75</v>
      </c>
      <c r="E117" s="41"/>
      <c r="F117" s="41"/>
      <c r="G117" s="41"/>
      <c r="H117" s="41">
        <f>+B117*D117</f>
        <v>0</v>
      </c>
    </row>
    <row r="118" spans="1:16" hidden="1" x14ac:dyDescent="0.2">
      <c r="A118" s="132" t="s">
        <v>60</v>
      </c>
      <c r="B118" s="53">
        <f>Anspruchsvoraussetzung!B21</f>
        <v>0</v>
      </c>
      <c r="C118" s="41"/>
      <c r="D118" s="41">
        <v>0.5</v>
      </c>
      <c r="E118" s="41"/>
      <c r="F118" s="41"/>
      <c r="G118" s="41"/>
      <c r="H118" s="41">
        <f>+B118*D118</f>
        <v>0</v>
      </c>
    </row>
    <row r="119" spans="1:16" hidden="1" x14ac:dyDescent="0.2">
      <c r="A119" s="132" t="s">
        <v>61</v>
      </c>
      <c r="B119" s="53">
        <f>Anspruchsvoraussetzung!B22</f>
        <v>1</v>
      </c>
      <c r="D119" s="132">
        <v>0.3</v>
      </c>
      <c r="H119" s="41">
        <f>+B119*D119</f>
        <v>0.3</v>
      </c>
    </row>
    <row r="120" spans="1:16" hidden="1" x14ac:dyDescent="0.2"/>
    <row r="121" spans="1:16" hidden="1" x14ac:dyDescent="0.2">
      <c r="H121" s="164">
        <f>SUM(H115:H120)</f>
        <v>0.3</v>
      </c>
    </row>
    <row r="123" spans="1:16" x14ac:dyDescent="0.2">
      <c r="A123" s="132" t="s">
        <v>200</v>
      </c>
      <c r="B123" s="38" t="s">
        <v>72</v>
      </c>
      <c r="D123" s="38" t="s">
        <v>72</v>
      </c>
      <c r="E123" s="165"/>
      <c r="F123" s="38" t="s">
        <v>72</v>
      </c>
      <c r="H123" s="38" t="s">
        <v>72</v>
      </c>
      <c r="J123" s="38" t="s">
        <v>72</v>
      </c>
      <c r="L123" s="38" t="s">
        <v>72</v>
      </c>
      <c r="M123" s="165"/>
      <c r="N123" s="38" t="s">
        <v>72</v>
      </c>
      <c r="P123" s="38" t="s">
        <v>72</v>
      </c>
    </row>
    <row r="124" spans="1:16" hidden="1" x14ac:dyDescent="0.2">
      <c r="A124" s="132" t="s">
        <v>72</v>
      </c>
    </row>
    <row r="125" spans="1:16" hidden="1" x14ac:dyDescent="0.2">
      <c r="A125" s="132" t="s">
        <v>73</v>
      </c>
    </row>
    <row r="126" spans="1:16" x14ac:dyDescent="0.2">
      <c r="A126" s="161" t="s">
        <v>201</v>
      </c>
    </row>
    <row r="128" spans="1:16" ht="15.75" x14ac:dyDescent="0.25">
      <c r="B128" s="12">
        <v>44136</v>
      </c>
      <c r="C128" s="12"/>
      <c r="D128" s="12">
        <v>44166</v>
      </c>
      <c r="E128" s="12"/>
      <c r="F128" s="12">
        <v>44197</v>
      </c>
      <c r="G128" s="12"/>
      <c r="H128" s="12">
        <v>44228</v>
      </c>
      <c r="I128" s="10"/>
      <c r="J128" s="12">
        <v>44256</v>
      </c>
      <c r="K128" s="12"/>
      <c r="L128" s="12">
        <v>44287</v>
      </c>
      <c r="M128" s="10"/>
      <c r="N128" s="12">
        <v>44317</v>
      </c>
      <c r="O128" s="12"/>
      <c r="P128" s="12">
        <v>44348</v>
      </c>
    </row>
    <row r="130" spans="1:16" x14ac:dyDescent="0.2">
      <c r="A130" s="132" t="s">
        <v>226</v>
      </c>
      <c r="B130" s="41">
        <f>IF(Anspruchsvoraussetzung!D35="nein",'Kalkulation Ü III'!B109*'Kalkulation Ü III'!B31,0)</f>
        <v>0</v>
      </c>
      <c r="C130" s="41"/>
      <c r="D130" s="41">
        <f>IF(Anspruchsvoraussetzung!D37="nein",'Kalkulation Ü III'!D109*'Kalkulation Ü III'!D31,0)</f>
        <v>0</v>
      </c>
      <c r="E130" s="41"/>
      <c r="F130" s="41">
        <f>F109*F31</f>
        <v>81601.740000000005</v>
      </c>
      <c r="G130" s="41">
        <f>G109*G31</f>
        <v>0</v>
      </c>
      <c r="H130" s="41">
        <f>H109*H31</f>
        <v>5956.2</v>
      </c>
      <c r="I130" s="41"/>
      <c r="J130" s="41">
        <f>J109*J31</f>
        <v>4293.6000000000004</v>
      </c>
      <c r="K130" s="41">
        <f>K109*K31</f>
        <v>0</v>
      </c>
      <c r="L130" s="41">
        <f>L109*L31</f>
        <v>9660.6</v>
      </c>
      <c r="M130" s="41">
        <f>M109*M31</f>
        <v>0</v>
      </c>
      <c r="N130" s="41">
        <f>N109*N31</f>
        <v>7055.64</v>
      </c>
      <c r="O130" s="41"/>
      <c r="P130" s="41">
        <f>P109*P31</f>
        <v>5956.2</v>
      </c>
    </row>
    <row r="131" spans="1:16" x14ac:dyDescent="0.2">
      <c r="H131" s="41"/>
    </row>
    <row r="132" spans="1:16" ht="14.45" customHeight="1" x14ac:dyDescent="0.2">
      <c r="H132" s="41"/>
    </row>
    <row r="133" spans="1:16" ht="15.75" x14ac:dyDescent="0.25">
      <c r="A133" s="132" t="s">
        <v>5</v>
      </c>
      <c r="B133" s="175">
        <f>SUM(B130:P130)</f>
        <v>114523.98000000001</v>
      </c>
      <c r="H133" s="41"/>
    </row>
    <row r="136" spans="1:16" x14ac:dyDescent="0.2">
      <c r="A136" s="41" t="str">
        <f>Neustarthilfe!A5</f>
        <v>Mandant ist zur Neustarthilfe berechtigt</v>
      </c>
    </row>
    <row r="138" spans="1:16" ht="15.75" x14ac:dyDescent="0.25">
      <c r="A138" s="176" t="str">
        <f>IF(A136="Mandant ist zur Neustarthilfe berechtigt","bitte Umsatz 2019 in Reiter Neustarthilfe eintragen","")</f>
        <v>bitte Umsatz 2019 in Reiter Neustarthilfe eintragen</v>
      </c>
    </row>
    <row r="140" spans="1:16" ht="15.75" x14ac:dyDescent="0.25">
      <c r="A140" s="132" t="s">
        <v>227</v>
      </c>
      <c r="B140" s="175">
        <f>IF(SUM(Anspruchsvoraussetzung!H18:H22)&lt;1,Neustarthilfe!B29,0)</f>
        <v>2280.0000000000005</v>
      </c>
    </row>
    <row r="142" spans="1:16" ht="15.75" x14ac:dyDescent="0.25">
      <c r="A142" s="136" t="str">
        <f>IF(B133&gt;B140,"Ergebnis der Günstigerprüfung: Überbrückungshilfe III beantragen !","Ergebnis der Günstigerprüfung: Neustarthilfe beantragen !")</f>
        <v>Ergebnis der Günstigerprüfung: Überbrückungshilfe III beantragen !</v>
      </c>
    </row>
    <row r="150" spans="1:2" ht="15.75" x14ac:dyDescent="0.25">
      <c r="A150" s="176" t="s">
        <v>386</v>
      </c>
    </row>
    <row r="152" spans="1:2" x14ac:dyDescent="0.2">
      <c r="A152" s="132" t="s">
        <v>387</v>
      </c>
      <c r="B152" s="132" t="s">
        <v>388</v>
      </c>
    </row>
    <row r="153" spans="1:2" x14ac:dyDescent="0.2">
      <c r="A153" s="132" t="s">
        <v>389</v>
      </c>
    </row>
    <row r="154" spans="1:2" x14ac:dyDescent="0.2">
      <c r="A154" s="132" t="s">
        <v>81</v>
      </c>
    </row>
    <row r="155" spans="1:2" x14ac:dyDescent="0.2">
      <c r="A155" s="132" t="s">
        <v>390</v>
      </c>
    </row>
    <row r="156" spans="1:2" x14ac:dyDescent="0.2">
      <c r="A156" s="132" t="s">
        <v>406</v>
      </c>
    </row>
    <row r="159" spans="1:2" ht="15.75" x14ac:dyDescent="0.25">
      <c r="A159" s="132" t="s">
        <v>393</v>
      </c>
    </row>
    <row r="160" spans="1:2" x14ac:dyDescent="0.2">
      <c r="A160" s="132" t="s">
        <v>391</v>
      </c>
    </row>
    <row r="161" spans="1:8" x14ac:dyDescent="0.2">
      <c r="A161" s="132" t="s">
        <v>392</v>
      </c>
    </row>
    <row r="162" spans="1:8" x14ac:dyDescent="0.2">
      <c r="A162" s="132" t="s">
        <v>394</v>
      </c>
    </row>
    <row r="166" spans="1:8" ht="15.75" x14ac:dyDescent="0.25">
      <c r="A166" s="176" t="s">
        <v>395</v>
      </c>
    </row>
    <row r="168" spans="1:8" x14ac:dyDescent="0.2">
      <c r="A168" s="132" t="s">
        <v>396</v>
      </c>
      <c r="H168" s="132" t="s">
        <v>400</v>
      </c>
    </row>
    <row r="169" spans="1:8" x14ac:dyDescent="0.2">
      <c r="A169" s="132" t="s">
        <v>397</v>
      </c>
    </row>
    <row r="170" spans="1:8" x14ac:dyDescent="0.2">
      <c r="A170" s="132" t="s">
        <v>398</v>
      </c>
    </row>
    <row r="173" spans="1:8" ht="15.75" x14ac:dyDescent="0.25">
      <c r="A173" s="176" t="s">
        <v>401</v>
      </c>
    </row>
    <row r="174" spans="1:8" x14ac:dyDescent="0.2">
      <c r="A174" s="132" t="s">
        <v>402</v>
      </c>
    </row>
    <row r="175" spans="1:8" x14ac:dyDescent="0.2">
      <c r="A175" s="132" t="s">
        <v>403</v>
      </c>
    </row>
    <row r="176" spans="1:8" x14ac:dyDescent="0.2">
      <c r="A176" s="274" t="s">
        <v>404</v>
      </c>
    </row>
    <row r="179" spans="1:1" ht="15.75" x14ac:dyDescent="0.25">
      <c r="A179" s="176" t="s">
        <v>405</v>
      </c>
    </row>
    <row r="181" spans="1:1" x14ac:dyDescent="0.2">
      <c r="A181" s="132" t="s">
        <v>413</v>
      </c>
    </row>
    <row r="182" spans="1:1" x14ac:dyDescent="0.2">
      <c r="A182" s="132" t="s">
        <v>407</v>
      </c>
    </row>
    <row r="183" spans="1:1" x14ac:dyDescent="0.2">
      <c r="A183" s="132" t="s">
        <v>411</v>
      </c>
    </row>
    <row r="184" spans="1:1" x14ac:dyDescent="0.2">
      <c r="A184" s="132" t="s">
        <v>408</v>
      </c>
    </row>
    <row r="185" spans="1:1" x14ac:dyDescent="0.2">
      <c r="A185" s="132" t="s">
        <v>409</v>
      </c>
    </row>
    <row r="186" spans="1:1" x14ac:dyDescent="0.2">
      <c r="A186" s="132" t="s">
        <v>410</v>
      </c>
    </row>
    <row r="187" spans="1:1" x14ac:dyDescent="0.2">
      <c r="A187" s="132" t="s">
        <v>412</v>
      </c>
    </row>
    <row r="413" spans="1:6" ht="15.75" x14ac:dyDescent="0.25">
      <c r="A413" s="153" t="s">
        <v>184</v>
      </c>
    </row>
    <row r="415" spans="1:6" x14ac:dyDescent="0.2">
      <c r="A415" s="132" t="s">
        <v>76</v>
      </c>
      <c r="B415" s="41">
        <v>1000</v>
      </c>
      <c r="D415" s="41">
        <v>1000</v>
      </c>
      <c r="E415" s="41"/>
      <c r="F415" s="41"/>
    </row>
    <row r="416" spans="1:6" x14ac:dyDescent="0.2">
      <c r="A416" s="132" t="s">
        <v>185</v>
      </c>
      <c r="B416" s="41">
        <v>1180</v>
      </c>
      <c r="D416" s="41">
        <v>1180</v>
      </c>
      <c r="E416" s="41"/>
      <c r="F416" s="41"/>
    </row>
    <row r="417" spans="1:6" x14ac:dyDescent="0.2">
      <c r="A417" s="132" t="s">
        <v>77</v>
      </c>
      <c r="B417" s="41">
        <v>1180</v>
      </c>
      <c r="D417" s="41">
        <v>1180</v>
      </c>
      <c r="E417" s="41"/>
      <c r="F417" s="41"/>
    </row>
    <row r="418" spans="1:6" x14ac:dyDescent="0.2">
      <c r="A418" s="132" t="s">
        <v>78</v>
      </c>
      <c r="B418" s="41">
        <v>0</v>
      </c>
      <c r="D418" s="41">
        <v>0</v>
      </c>
      <c r="E418" s="41"/>
      <c r="F418" s="41"/>
    </row>
  </sheetData>
  <sheetProtection formatCells="0" formatColumns="0" formatRows="0" insertColumns="0" insertRows="0" insertHyperlinks="0" deleteColumns="0" deleteRows="0" selectLockedCells="1" sort="0" autoFilter="0" pivotTables="0"/>
  <mergeCells count="3">
    <mergeCell ref="K1:N1"/>
    <mergeCell ref="K2:N2"/>
    <mergeCell ref="K3:N3"/>
  </mergeCells>
  <phoneticPr fontId="22" type="noConversion"/>
  <conditionalFormatting sqref="B29 P29 N29 L29 J29 H29 F29 D29">
    <cfRule type="cellIs" dxfId="11" priority="2" operator="lessThan">
      <formula>0.3</formula>
    </cfRule>
    <cfRule type="cellIs" dxfId="10" priority="3" operator="greaterThan">
      <formula>0.299999999999999</formula>
    </cfRule>
  </conditionalFormatting>
  <conditionalFormatting sqref="A136">
    <cfRule type="containsText" dxfId="9" priority="1" operator="containsText" text="Mandant ist zur Neustarthilfe berechtigt">
      <formula>NOT(ISERROR(SEARCH("Mandant ist zur Neustarthilfe berechtigt",A136)))</formula>
    </cfRule>
  </conditionalFormatting>
  <dataValidations count="1">
    <dataValidation type="list" allowBlank="1" showInputMessage="1" showErrorMessage="1" sqref="H123 L123:N123 J123 P123 D123:F123 B123" xr:uid="{00000000-0002-0000-0100-000000000000}">
      <formula1>$A$124:$A$125</formula1>
    </dataValidation>
  </dataValidations>
  <pageMargins left="0.7" right="0.7" top="0.78740157499999996" bottom="0.78740157499999996" header="0.3" footer="0.3"/>
  <pageSetup paperSize="9" scale="54" fitToHeight="0" orientation="landscape" r:id="rId1"/>
  <rowBreaks count="1" manualBreakCount="1">
    <brk id="33"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55439-9BBE-4F55-9A0D-22BBCC05A5E7}">
  <dimension ref="A3:M62"/>
  <sheetViews>
    <sheetView topLeftCell="A55" zoomScale="130" zoomScaleNormal="130" workbookViewId="0">
      <selection activeCell="D62" sqref="D62"/>
    </sheetView>
  </sheetViews>
  <sheetFormatPr baseColWidth="10" defaultRowHeight="15" x14ac:dyDescent="0.25"/>
  <cols>
    <col min="1" max="1" width="12.5703125" customWidth="1"/>
    <col min="2" max="2" width="46.140625" customWidth="1"/>
    <col min="3" max="3" width="4.85546875" style="243" customWidth="1"/>
  </cols>
  <sheetData>
    <row r="3" spans="1:13" ht="30" x14ac:dyDescent="0.25">
      <c r="A3" s="234" t="s">
        <v>306</v>
      </c>
      <c r="B3" s="246"/>
      <c r="C3" s="247"/>
      <c r="D3" s="248"/>
      <c r="E3" s="249"/>
      <c r="F3" s="249"/>
      <c r="G3" s="249"/>
      <c r="H3" s="249"/>
      <c r="I3" s="249"/>
      <c r="J3" s="249"/>
      <c r="K3" s="249"/>
      <c r="L3" s="249"/>
      <c r="M3" s="249"/>
    </row>
    <row r="4" spans="1:13" x14ac:dyDescent="0.25">
      <c r="A4" s="235"/>
      <c r="B4" s="240"/>
      <c r="D4" s="244">
        <v>43891</v>
      </c>
      <c r="E4" s="245">
        <v>43922</v>
      </c>
      <c r="F4" s="245">
        <v>43952</v>
      </c>
      <c r="G4" s="245">
        <v>43983</v>
      </c>
      <c r="H4" s="245">
        <v>44013</v>
      </c>
      <c r="I4" s="245">
        <v>44044</v>
      </c>
      <c r="J4" s="245">
        <v>44075</v>
      </c>
      <c r="K4" s="245">
        <v>44105</v>
      </c>
      <c r="L4" s="245">
        <v>44136</v>
      </c>
      <c r="M4" s="245">
        <v>44166</v>
      </c>
    </row>
    <row r="5" spans="1:13" x14ac:dyDescent="0.25">
      <c r="A5" s="236"/>
      <c r="B5" s="241" t="s">
        <v>307</v>
      </c>
      <c r="D5" s="252"/>
      <c r="E5" s="253"/>
      <c r="F5" s="253"/>
      <c r="G5" s="253"/>
      <c r="H5" s="253"/>
      <c r="I5" s="253"/>
      <c r="J5" s="253"/>
      <c r="K5" s="253"/>
      <c r="L5" s="253"/>
      <c r="M5" s="253"/>
    </row>
    <row r="6" spans="1:13" x14ac:dyDescent="0.25">
      <c r="A6" s="237" t="s">
        <v>308</v>
      </c>
      <c r="B6" s="241" t="s">
        <v>309</v>
      </c>
      <c r="D6" s="252"/>
      <c r="E6" s="253"/>
      <c r="F6" s="253"/>
      <c r="G6" s="253"/>
      <c r="H6" s="253"/>
      <c r="I6" s="253"/>
      <c r="J6" s="253"/>
      <c r="K6" s="253"/>
      <c r="L6" s="253"/>
      <c r="M6" s="253"/>
    </row>
    <row r="7" spans="1:13" x14ac:dyDescent="0.25">
      <c r="A7" s="238"/>
      <c r="B7" s="242" t="s">
        <v>310</v>
      </c>
      <c r="D7" s="252">
        <v>1</v>
      </c>
      <c r="E7" s="253">
        <v>2</v>
      </c>
      <c r="F7" s="253">
        <v>3</v>
      </c>
      <c r="G7" s="253">
        <v>4</v>
      </c>
      <c r="H7" s="253">
        <v>5</v>
      </c>
      <c r="I7" s="253">
        <v>6</v>
      </c>
      <c r="J7" s="253">
        <v>7</v>
      </c>
      <c r="K7" s="253">
        <v>8</v>
      </c>
      <c r="L7" s="253">
        <v>9</v>
      </c>
      <c r="M7" s="253">
        <v>10</v>
      </c>
    </row>
    <row r="8" spans="1:13" x14ac:dyDescent="0.25">
      <c r="A8" s="238"/>
      <c r="B8" s="242" t="s">
        <v>311</v>
      </c>
      <c r="D8" s="252"/>
      <c r="E8" s="253"/>
      <c r="F8" s="253"/>
      <c r="G8" s="253"/>
      <c r="H8" s="253"/>
      <c r="I8" s="253"/>
      <c r="J8" s="253"/>
      <c r="K8" s="253"/>
      <c r="L8" s="253"/>
      <c r="M8" s="253"/>
    </row>
    <row r="9" spans="1:13" ht="25.5" x14ac:dyDescent="0.25">
      <c r="A9" s="238"/>
      <c r="B9" s="242" t="s">
        <v>312</v>
      </c>
      <c r="D9" s="252"/>
      <c r="E9" s="253"/>
      <c r="F9" s="253"/>
      <c r="G9" s="253"/>
      <c r="H9" s="253"/>
      <c r="I9" s="253"/>
      <c r="J9" s="253"/>
      <c r="K9" s="253"/>
      <c r="L9" s="253"/>
      <c r="M9" s="253"/>
    </row>
    <row r="10" spans="1:13" x14ac:dyDescent="0.25">
      <c r="A10" s="238"/>
      <c r="B10" s="242" t="s">
        <v>313</v>
      </c>
      <c r="D10" s="252"/>
      <c r="E10" s="253"/>
      <c r="F10" s="253"/>
      <c r="G10" s="253"/>
      <c r="H10" s="253"/>
      <c r="I10" s="253"/>
      <c r="J10" s="253"/>
      <c r="K10" s="253"/>
      <c r="L10" s="253"/>
      <c r="M10" s="253"/>
    </row>
    <row r="11" spans="1:13" x14ac:dyDescent="0.25">
      <c r="A11" s="238"/>
      <c r="B11" s="242" t="s">
        <v>314</v>
      </c>
      <c r="D11" s="252"/>
      <c r="E11" s="253"/>
      <c r="F11" s="253"/>
      <c r="G11" s="253"/>
      <c r="H11" s="253"/>
      <c r="I11" s="253"/>
      <c r="J11" s="253"/>
      <c r="K11" s="253"/>
      <c r="L11" s="253"/>
      <c r="M11" s="253"/>
    </row>
    <row r="12" spans="1:13" x14ac:dyDescent="0.25">
      <c r="A12" s="238"/>
      <c r="B12" s="242" t="s">
        <v>315</v>
      </c>
      <c r="D12" s="252"/>
      <c r="E12" s="253"/>
      <c r="F12" s="253"/>
      <c r="G12" s="253"/>
      <c r="H12" s="253"/>
      <c r="I12" s="253"/>
      <c r="J12" s="253"/>
      <c r="K12" s="253"/>
      <c r="L12" s="253"/>
      <c r="M12" s="253"/>
    </row>
    <row r="13" spans="1:13" x14ac:dyDescent="0.25">
      <c r="A13" s="238"/>
      <c r="B13" s="242" t="s">
        <v>316</v>
      </c>
      <c r="D13" s="252"/>
      <c r="E13" s="253"/>
      <c r="F13" s="253"/>
      <c r="G13" s="253"/>
      <c r="H13" s="253"/>
      <c r="I13" s="253"/>
      <c r="J13" s="253"/>
      <c r="K13" s="253"/>
      <c r="L13" s="253"/>
      <c r="M13" s="253"/>
    </row>
    <row r="14" spans="1:13" ht="25.5" x14ac:dyDescent="0.25">
      <c r="A14" s="238"/>
      <c r="B14" s="242" t="s">
        <v>317</v>
      </c>
      <c r="D14" s="252"/>
      <c r="E14" s="253"/>
      <c r="F14" s="253"/>
      <c r="G14" s="253"/>
      <c r="H14" s="253"/>
      <c r="I14" s="253"/>
      <c r="J14" s="253"/>
      <c r="K14" s="253"/>
      <c r="L14" s="253"/>
      <c r="M14" s="253"/>
    </row>
    <row r="15" spans="1:13" x14ac:dyDescent="0.25">
      <c r="A15" s="238"/>
      <c r="B15" s="242" t="s">
        <v>318</v>
      </c>
      <c r="D15" s="252"/>
      <c r="E15" s="253"/>
      <c r="F15" s="253"/>
      <c r="G15" s="253"/>
      <c r="H15" s="253"/>
      <c r="I15" s="253"/>
      <c r="J15" s="253"/>
      <c r="K15" s="253"/>
      <c r="L15" s="253"/>
      <c r="M15" s="253"/>
    </row>
    <row r="16" spans="1:13" x14ac:dyDescent="0.25">
      <c r="A16" s="238"/>
      <c r="B16" s="242" t="s">
        <v>319</v>
      </c>
      <c r="D16" s="252"/>
      <c r="E16" s="253"/>
      <c r="F16" s="253"/>
      <c r="G16" s="253"/>
      <c r="H16" s="253"/>
      <c r="I16" s="253"/>
      <c r="J16" s="253"/>
      <c r="K16" s="253"/>
      <c r="L16" s="253"/>
      <c r="M16" s="253"/>
    </row>
    <row r="17" spans="1:13" x14ac:dyDescent="0.25">
      <c r="A17" s="238"/>
      <c r="B17" s="242" t="s">
        <v>320</v>
      </c>
      <c r="D17" s="252"/>
      <c r="E17" s="253"/>
      <c r="F17" s="253"/>
      <c r="G17" s="253"/>
      <c r="H17" s="253"/>
      <c r="I17" s="253"/>
      <c r="J17" s="253"/>
      <c r="K17" s="253"/>
      <c r="L17" s="253"/>
      <c r="M17" s="253"/>
    </row>
    <row r="18" spans="1:13" x14ac:dyDescent="0.25">
      <c r="A18" s="238"/>
      <c r="B18" s="242" t="s">
        <v>321</v>
      </c>
      <c r="D18" s="252"/>
      <c r="E18" s="253"/>
      <c r="F18" s="253"/>
      <c r="G18" s="253"/>
      <c r="H18" s="253"/>
      <c r="I18" s="253"/>
      <c r="J18" s="253"/>
      <c r="K18" s="253"/>
      <c r="L18" s="253"/>
      <c r="M18" s="253"/>
    </row>
    <row r="19" spans="1:13" x14ac:dyDescent="0.25">
      <c r="A19" s="236" t="s">
        <v>322</v>
      </c>
      <c r="B19" s="241" t="s">
        <v>278</v>
      </c>
      <c r="D19" s="252"/>
      <c r="E19" s="253"/>
      <c r="F19" s="253"/>
      <c r="G19" s="253"/>
      <c r="H19" s="253"/>
      <c r="I19" s="253"/>
      <c r="J19" s="253"/>
      <c r="K19" s="253"/>
      <c r="L19" s="253"/>
      <c r="M19" s="253"/>
    </row>
    <row r="20" spans="1:13" x14ac:dyDescent="0.25">
      <c r="A20" s="238"/>
      <c r="B20" s="242" t="s">
        <v>323</v>
      </c>
      <c r="D20" s="252"/>
      <c r="E20" s="253"/>
      <c r="F20" s="253"/>
      <c r="G20" s="253"/>
      <c r="H20" s="253"/>
      <c r="I20" s="253"/>
      <c r="J20" s="253"/>
      <c r="K20" s="253"/>
      <c r="L20" s="253"/>
      <c r="M20" s="253"/>
    </row>
    <row r="21" spans="1:13" x14ac:dyDescent="0.25">
      <c r="A21" s="238"/>
      <c r="B21" s="242" t="s">
        <v>324</v>
      </c>
      <c r="D21" s="252"/>
      <c r="E21" s="253"/>
      <c r="F21" s="253"/>
      <c r="G21" s="253"/>
      <c r="H21" s="253"/>
      <c r="I21" s="253"/>
      <c r="J21" s="253"/>
      <c r="K21" s="253"/>
      <c r="L21" s="253"/>
      <c r="M21" s="253"/>
    </row>
    <row r="22" spans="1:13" x14ac:dyDescent="0.25">
      <c r="A22" s="238"/>
      <c r="B22" s="242" t="s">
        <v>325</v>
      </c>
      <c r="D22" s="252"/>
      <c r="E22" s="253"/>
      <c r="F22" s="253"/>
      <c r="G22" s="253"/>
      <c r="H22" s="253"/>
      <c r="I22" s="253"/>
      <c r="J22" s="253"/>
      <c r="K22" s="253"/>
      <c r="L22" s="253"/>
      <c r="M22" s="253"/>
    </row>
    <row r="23" spans="1:13" x14ac:dyDescent="0.25">
      <c r="A23" s="238"/>
      <c r="B23" s="242" t="s">
        <v>326</v>
      </c>
      <c r="D23" s="252"/>
      <c r="E23" s="253"/>
      <c r="F23" s="253"/>
      <c r="G23" s="253"/>
      <c r="H23" s="253"/>
      <c r="I23" s="253"/>
      <c r="J23" s="253"/>
      <c r="K23" s="253"/>
      <c r="L23" s="253"/>
      <c r="M23" s="253"/>
    </row>
    <row r="24" spans="1:13" x14ac:dyDescent="0.25">
      <c r="A24" s="238"/>
      <c r="B24" s="242" t="s">
        <v>327</v>
      </c>
      <c r="D24" s="252"/>
      <c r="E24" s="253"/>
      <c r="F24" s="253"/>
      <c r="G24" s="253"/>
      <c r="H24" s="253"/>
      <c r="I24" s="253"/>
      <c r="J24" s="253"/>
      <c r="K24" s="253"/>
      <c r="L24" s="253"/>
      <c r="M24" s="253"/>
    </row>
    <row r="25" spans="1:13" x14ac:dyDescent="0.25">
      <c r="A25" s="238"/>
      <c r="B25" s="242" t="s">
        <v>328</v>
      </c>
      <c r="D25" s="252"/>
      <c r="E25" s="253"/>
      <c r="F25" s="253"/>
      <c r="G25" s="253"/>
      <c r="H25" s="253"/>
      <c r="I25" s="253"/>
      <c r="J25" s="253"/>
      <c r="K25" s="253"/>
      <c r="L25" s="253"/>
      <c r="M25" s="253"/>
    </row>
    <row r="26" spans="1:13" x14ac:dyDescent="0.25">
      <c r="A26" s="238"/>
      <c r="B26" s="242" t="s">
        <v>329</v>
      </c>
      <c r="D26" s="252"/>
      <c r="E26" s="253"/>
      <c r="F26" s="253"/>
      <c r="G26" s="253"/>
      <c r="H26" s="253"/>
      <c r="I26" s="253"/>
      <c r="J26" s="253"/>
      <c r="K26" s="253"/>
      <c r="L26" s="253"/>
      <c r="M26" s="253"/>
    </row>
    <row r="27" spans="1:13" x14ac:dyDescent="0.25">
      <c r="A27" s="238"/>
      <c r="B27" s="242" t="s">
        <v>330</v>
      </c>
      <c r="D27" s="252"/>
      <c r="E27" s="253"/>
      <c r="F27" s="253"/>
      <c r="G27" s="253"/>
      <c r="H27" s="253"/>
      <c r="I27" s="253"/>
      <c r="J27" s="253"/>
      <c r="K27" s="253"/>
      <c r="L27" s="253"/>
      <c r="M27" s="253"/>
    </row>
    <row r="28" spans="1:13" x14ac:dyDescent="0.25">
      <c r="A28" s="238"/>
      <c r="B28" s="242" t="s">
        <v>331</v>
      </c>
      <c r="D28" s="252"/>
      <c r="E28" s="253"/>
      <c r="F28" s="253"/>
      <c r="G28" s="253"/>
      <c r="H28" s="253"/>
      <c r="I28" s="253"/>
      <c r="J28" s="253"/>
      <c r="K28" s="253"/>
      <c r="L28" s="253"/>
      <c r="M28" s="253"/>
    </row>
    <row r="29" spans="1:13" x14ac:dyDescent="0.25">
      <c r="A29" s="238"/>
      <c r="B29" s="242" t="s">
        <v>332</v>
      </c>
      <c r="D29" s="252"/>
      <c r="E29" s="253"/>
      <c r="F29" s="253"/>
      <c r="G29" s="253"/>
      <c r="H29" s="253"/>
      <c r="I29" s="253"/>
      <c r="J29" s="253"/>
      <c r="K29" s="253"/>
      <c r="L29" s="253"/>
      <c r="M29" s="253"/>
    </row>
    <row r="30" spans="1:13" x14ac:dyDescent="0.25">
      <c r="A30" s="238"/>
      <c r="B30" s="242" t="s">
        <v>333</v>
      </c>
      <c r="D30" s="252"/>
      <c r="E30" s="253"/>
      <c r="F30" s="253"/>
      <c r="G30" s="253"/>
      <c r="H30" s="253"/>
      <c r="I30" s="253"/>
      <c r="J30" s="253"/>
      <c r="K30" s="253"/>
      <c r="L30" s="253"/>
      <c r="M30" s="253"/>
    </row>
    <row r="31" spans="1:13" x14ac:dyDescent="0.25">
      <c r="A31" s="238"/>
      <c r="B31" s="242" t="s">
        <v>334</v>
      </c>
      <c r="D31" s="252"/>
      <c r="E31" s="253"/>
      <c r="F31" s="253"/>
      <c r="G31" s="253"/>
      <c r="H31" s="253"/>
      <c r="I31" s="253"/>
      <c r="J31" s="253"/>
      <c r="K31" s="253"/>
      <c r="L31" s="253"/>
      <c r="M31" s="253"/>
    </row>
    <row r="32" spans="1:13" x14ac:dyDescent="0.25">
      <c r="A32" s="239"/>
      <c r="B32" s="242" t="s">
        <v>335</v>
      </c>
      <c r="D32" s="252"/>
      <c r="E32" s="253"/>
      <c r="F32" s="253"/>
      <c r="G32" s="253"/>
      <c r="H32" s="253"/>
      <c r="I32" s="253"/>
      <c r="J32" s="253"/>
      <c r="K32" s="253"/>
      <c r="L32" s="253"/>
      <c r="M32" s="253"/>
    </row>
    <row r="33" spans="1:13" x14ac:dyDescent="0.25">
      <c r="A33" s="239"/>
      <c r="B33" s="242" t="s">
        <v>319</v>
      </c>
      <c r="D33" s="252"/>
      <c r="E33" s="253"/>
      <c r="F33" s="253"/>
      <c r="G33" s="253"/>
      <c r="H33" s="253"/>
      <c r="I33" s="253"/>
      <c r="J33" s="253"/>
      <c r="K33" s="253"/>
      <c r="L33" s="253"/>
      <c r="M33" s="253"/>
    </row>
    <row r="34" spans="1:13" x14ac:dyDescent="0.25">
      <c r="A34" s="239"/>
      <c r="B34" s="242" t="s">
        <v>336</v>
      </c>
      <c r="D34" s="252"/>
      <c r="E34" s="253"/>
      <c r="F34" s="253"/>
      <c r="G34" s="253"/>
      <c r="H34" s="253"/>
      <c r="I34" s="253"/>
      <c r="J34" s="253"/>
      <c r="K34" s="253"/>
      <c r="L34" s="253"/>
      <c r="M34" s="253"/>
    </row>
    <row r="35" spans="1:13" x14ac:dyDescent="0.25">
      <c r="A35" s="239"/>
      <c r="B35" s="242" t="s">
        <v>337</v>
      </c>
      <c r="D35" s="252"/>
      <c r="E35" s="253"/>
      <c r="F35" s="253"/>
      <c r="G35" s="253"/>
      <c r="H35" s="253"/>
      <c r="I35" s="253"/>
      <c r="J35" s="253"/>
      <c r="K35" s="253"/>
      <c r="L35" s="253"/>
      <c r="M35" s="253"/>
    </row>
    <row r="36" spans="1:13" x14ac:dyDescent="0.25">
      <c r="A36" s="239"/>
      <c r="B36" s="242" t="s">
        <v>338</v>
      </c>
      <c r="D36" s="252"/>
      <c r="E36" s="253"/>
      <c r="F36" s="253"/>
      <c r="G36" s="253"/>
      <c r="H36" s="253"/>
      <c r="I36" s="253"/>
      <c r="J36" s="253"/>
      <c r="K36" s="253"/>
      <c r="L36" s="253"/>
      <c r="M36" s="253"/>
    </row>
    <row r="37" spans="1:13" x14ac:dyDescent="0.25">
      <c r="A37" s="239"/>
      <c r="B37" s="242" t="s">
        <v>339</v>
      </c>
      <c r="D37" s="252"/>
      <c r="E37" s="253"/>
      <c r="F37" s="253"/>
      <c r="G37" s="253"/>
      <c r="H37" s="253"/>
      <c r="I37" s="253"/>
      <c r="J37" s="253"/>
      <c r="K37" s="253"/>
      <c r="L37" s="253"/>
      <c r="M37" s="253"/>
    </row>
    <row r="38" spans="1:13" x14ac:dyDescent="0.25">
      <c r="A38" s="239"/>
      <c r="B38" s="242" t="s">
        <v>340</v>
      </c>
      <c r="D38" s="252"/>
      <c r="E38" s="253"/>
      <c r="F38" s="253"/>
      <c r="G38" s="253"/>
      <c r="H38" s="253"/>
      <c r="I38" s="253"/>
      <c r="J38" s="253"/>
      <c r="K38" s="253"/>
      <c r="L38" s="253"/>
      <c r="M38" s="253"/>
    </row>
    <row r="39" spans="1:13" x14ac:dyDescent="0.25">
      <c r="A39" s="239"/>
      <c r="B39" s="242" t="s">
        <v>341</v>
      </c>
      <c r="D39" s="252"/>
      <c r="E39" s="253"/>
      <c r="F39" s="253"/>
      <c r="G39" s="253"/>
      <c r="H39" s="253"/>
      <c r="I39" s="253"/>
      <c r="J39" s="253"/>
      <c r="K39" s="253"/>
      <c r="L39" s="253"/>
      <c r="M39" s="253"/>
    </row>
    <row r="40" spans="1:13" x14ac:dyDescent="0.25">
      <c r="A40" s="239"/>
      <c r="B40" s="242" t="s">
        <v>342</v>
      </c>
      <c r="D40" s="252"/>
      <c r="E40" s="253"/>
      <c r="F40" s="253"/>
      <c r="G40" s="253"/>
      <c r="H40" s="253"/>
      <c r="I40" s="253"/>
      <c r="J40" s="253"/>
      <c r="K40" s="253"/>
      <c r="L40" s="253"/>
      <c r="M40" s="253"/>
    </row>
    <row r="41" spans="1:13" x14ac:dyDescent="0.25">
      <c r="A41" s="235"/>
      <c r="B41" s="240"/>
      <c r="D41" s="252"/>
      <c r="E41" s="253"/>
      <c r="F41" s="253"/>
      <c r="G41" s="253"/>
      <c r="H41" s="253"/>
      <c r="I41" s="253"/>
      <c r="J41" s="253"/>
      <c r="K41" s="253"/>
      <c r="L41" s="253"/>
      <c r="M41" s="253"/>
    </row>
    <row r="42" spans="1:13" ht="30" x14ac:dyDescent="0.25">
      <c r="A42" s="234" t="s">
        <v>343</v>
      </c>
      <c r="B42" s="240"/>
      <c r="D42" s="252"/>
      <c r="E42" s="253"/>
      <c r="F42" s="253"/>
      <c r="G42" s="253"/>
      <c r="H42" s="253"/>
      <c r="I42" s="253"/>
      <c r="J42" s="253"/>
      <c r="K42" s="253"/>
      <c r="L42" s="253"/>
      <c r="M42" s="253"/>
    </row>
    <row r="43" spans="1:13" x14ac:dyDescent="0.25">
      <c r="A43" s="235"/>
      <c r="B43" s="240"/>
      <c r="D43" s="252"/>
      <c r="E43" s="253"/>
      <c r="F43" s="253"/>
      <c r="G43" s="253"/>
      <c r="H43" s="253"/>
      <c r="I43" s="253"/>
      <c r="J43" s="253"/>
      <c r="K43" s="253"/>
      <c r="L43" s="253"/>
      <c r="M43" s="253"/>
    </row>
    <row r="44" spans="1:13" x14ac:dyDescent="0.25">
      <c r="A44" s="237"/>
      <c r="B44" s="241" t="s">
        <v>307</v>
      </c>
      <c r="D44" s="252"/>
      <c r="E44" s="253"/>
      <c r="F44" s="253"/>
      <c r="G44" s="253"/>
      <c r="H44" s="253"/>
      <c r="I44" s="253"/>
      <c r="J44" s="253"/>
      <c r="K44" s="253"/>
      <c r="L44" s="253"/>
      <c r="M44" s="253"/>
    </row>
    <row r="45" spans="1:13" x14ac:dyDescent="0.25">
      <c r="A45" s="236" t="s">
        <v>308</v>
      </c>
      <c r="B45" s="242" t="s">
        <v>344</v>
      </c>
      <c r="D45" s="252"/>
      <c r="E45" s="253"/>
      <c r="F45" s="253"/>
      <c r="G45" s="253"/>
      <c r="H45" s="253"/>
      <c r="I45" s="253"/>
      <c r="J45" s="253"/>
      <c r="K45" s="253"/>
      <c r="L45" s="253"/>
      <c r="M45" s="253"/>
    </row>
    <row r="46" spans="1:13" x14ac:dyDescent="0.25">
      <c r="A46" s="238"/>
      <c r="B46" s="242" t="s">
        <v>345</v>
      </c>
      <c r="D46" s="252"/>
      <c r="E46" s="253"/>
      <c r="F46" s="253"/>
      <c r="G46" s="253"/>
      <c r="H46" s="253"/>
      <c r="I46" s="253"/>
      <c r="J46" s="253"/>
      <c r="K46" s="253"/>
      <c r="L46" s="253"/>
      <c r="M46" s="253"/>
    </row>
    <row r="47" spans="1:13" x14ac:dyDescent="0.25">
      <c r="A47" s="238"/>
      <c r="B47" s="242" t="s">
        <v>346</v>
      </c>
      <c r="D47" s="252"/>
      <c r="E47" s="253"/>
      <c r="F47" s="253"/>
      <c r="G47" s="253"/>
      <c r="H47" s="253"/>
      <c r="I47" s="253"/>
      <c r="J47" s="253"/>
      <c r="K47" s="253"/>
      <c r="L47" s="253"/>
      <c r="M47" s="253"/>
    </row>
    <row r="48" spans="1:13" x14ac:dyDescent="0.25">
      <c r="D48" s="254"/>
      <c r="E48" s="254"/>
      <c r="F48" s="254"/>
      <c r="G48" s="254"/>
      <c r="H48" s="254"/>
      <c r="I48" s="254"/>
      <c r="J48" s="254"/>
      <c r="K48" s="254"/>
      <c r="L48" s="254"/>
      <c r="M48" s="254"/>
    </row>
    <row r="49" spans="2:13" x14ac:dyDescent="0.25">
      <c r="D49" s="254"/>
      <c r="E49" s="254"/>
      <c r="F49" s="254"/>
      <c r="G49" s="254"/>
      <c r="H49" s="254"/>
      <c r="I49" s="254"/>
      <c r="J49" s="254"/>
      <c r="K49" s="254"/>
      <c r="L49" s="254"/>
      <c r="M49" s="254"/>
    </row>
    <row r="50" spans="2:13" x14ac:dyDescent="0.25">
      <c r="B50" s="250" t="s">
        <v>5</v>
      </c>
      <c r="D50" s="254">
        <f>SUM(D7:D47)</f>
        <v>1</v>
      </c>
      <c r="E50" s="254">
        <f t="shared" ref="E50:M50" si="0">SUM(E7:E47)</f>
        <v>2</v>
      </c>
      <c r="F50" s="254">
        <f t="shared" si="0"/>
        <v>3</v>
      </c>
      <c r="G50" s="254">
        <f t="shared" si="0"/>
        <v>4</v>
      </c>
      <c r="H50" s="254">
        <f t="shared" si="0"/>
        <v>5</v>
      </c>
      <c r="I50" s="254">
        <f t="shared" si="0"/>
        <v>6</v>
      </c>
      <c r="J50" s="254">
        <f t="shared" si="0"/>
        <v>7</v>
      </c>
      <c r="K50" s="254">
        <f t="shared" si="0"/>
        <v>8</v>
      </c>
      <c r="L50" s="254">
        <f t="shared" si="0"/>
        <v>9</v>
      </c>
      <c r="M50" s="254">
        <f t="shared" si="0"/>
        <v>10</v>
      </c>
    </row>
    <row r="53" spans="2:13" x14ac:dyDescent="0.25">
      <c r="D53" s="244">
        <f>D4</f>
        <v>43891</v>
      </c>
      <c r="E53" s="245">
        <f t="shared" ref="E53:M53" si="1">E4</f>
        <v>43922</v>
      </c>
      <c r="F53" s="245">
        <f t="shared" si="1"/>
        <v>43952</v>
      </c>
      <c r="G53" s="245">
        <f t="shared" si="1"/>
        <v>43983</v>
      </c>
      <c r="H53" s="245">
        <f t="shared" si="1"/>
        <v>44013</v>
      </c>
      <c r="I53" s="245">
        <f t="shared" si="1"/>
        <v>44044</v>
      </c>
      <c r="J53" s="245">
        <f t="shared" si="1"/>
        <v>44075</v>
      </c>
      <c r="K53" s="245">
        <f t="shared" si="1"/>
        <v>44105</v>
      </c>
      <c r="L53" s="245">
        <f t="shared" si="1"/>
        <v>44136</v>
      </c>
      <c r="M53" s="245">
        <f t="shared" si="1"/>
        <v>44166</v>
      </c>
    </row>
    <row r="54" spans="2:13" x14ac:dyDescent="0.25">
      <c r="B54" t="s">
        <v>262</v>
      </c>
      <c r="D54" s="251">
        <v>5000</v>
      </c>
      <c r="E54" s="251">
        <v>1</v>
      </c>
      <c r="F54" s="251">
        <v>1</v>
      </c>
      <c r="G54" s="251">
        <v>1</v>
      </c>
      <c r="H54" s="251">
        <v>1</v>
      </c>
      <c r="I54" s="251">
        <v>1</v>
      </c>
      <c r="J54" s="251">
        <v>1</v>
      </c>
      <c r="K54" s="251">
        <v>1</v>
      </c>
      <c r="L54">
        <f>'Kalkulation Ü III'!B27</f>
        <v>10450</v>
      </c>
      <c r="M54">
        <f>'Kalkulation Ü III'!D27</f>
        <v>10450</v>
      </c>
    </row>
    <row r="55" spans="2:13" ht="15.75" thickBot="1" x14ac:dyDescent="0.3">
      <c r="D55" s="244">
        <v>43525</v>
      </c>
      <c r="E55" s="245">
        <v>43556</v>
      </c>
      <c r="F55" s="245">
        <v>43586</v>
      </c>
      <c r="G55" s="245">
        <v>43617</v>
      </c>
      <c r="H55" s="255">
        <v>43647</v>
      </c>
      <c r="I55" s="255">
        <v>43678</v>
      </c>
      <c r="J55" s="255">
        <v>43709</v>
      </c>
      <c r="K55" s="255">
        <v>43739</v>
      </c>
      <c r="L55" s="245">
        <v>43770</v>
      </c>
      <c r="M55" s="245">
        <v>43800</v>
      </c>
    </row>
    <row r="56" spans="2:13" ht="15.75" thickBot="1" x14ac:dyDescent="0.3">
      <c r="B56" t="s">
        <v>347</v>
      </c>
      <c r="D56">
        <f>'Kalkulation Ü III'!J19</f>
        <v>15500</v>
      </c>
      <c r="E56">
        <f>'Kalkulation Ü III'!L19</f>
        <v>15500</v>
      </c>
      <c r="F56">
        <f>'Kalkulation Ü III'!N19</f>
        <v>13000</v>
      </c>
      <c r="G56">
        <f>'Kalkulation Ü III'!P19</f>
        <v>8500</v>
      </c>
      <c r="H56" s="256">
        <v>1</v>
      </c>
      <c r="I56" s="257">
        <v>1</v>
      </c>
      <c r="J56" s="257">
        <v>1</v>
      </c>
      <c r="K56" s="258">
        <v>1</v>
      </c>
      <c r="L56">
        <f>'Kalkulation Ü III'!B19</f>
        <v>15500</v>
      </c>
      <c r="M56">
        <f>'Kalkulation Ü III'!D19</f>
        <v>15500</v>
      </c>
    </row>
    <row r="58" spans="2:13" x14ac:dyDescent="0.25">
      <c r="B58" t="s">
        <v>348</v>
      </c>
      <c r="D58" s="259">
        <f>(D56-D54)/D56</f>
        <v>0.67741935483870963</v>
      </c>
      <c r="E58" s="259">
        <f t="shared" ref="E58:M58" si="2">(E56-E54)/E56</f>
        <v>0.99993548387096776</v>
      </c>
      <c r="F58" s="259">
        <f t="shared" si="2"/>
        <v>0.99992307692307691</v>
      </c>
      <c r="G58" s="259">
        <f t="shared" si="2"/>
        <v>0.99988235294117644</v>
      </c>
      <c r="H58" s="259">
        <f t="shared" si="2"/>
        <v>0</v>
      </c>
      <c r="I58" s="259">
        <f t="shared" si="2"/>
        <v>0</v>
      </c>
      <c r="J58" s="259">
        <f t="shared" si="2"/>
        <v>0</v>
      </c>
      <c r="K58" s="259">
        <f t="shared" si="2"/>
        <v>0</v>
      </c>
      <c r="L58" s="259">
        <f t="shared" si="2"/>
        <v>0.32580645161290323</v>
      </c>
      <c r="M58" s="259">
        <f t="shared" si="2"/>
        <v>0.32580645161290323</v>
      </c>
    </row>
    <row r="60" spans="2:13" x14ac:dyDescent="0.25">
      <c r="B60" t="s">
        <v>349</v>
      </c>
      <c r="D60">
        <f>IF(D58&gt;0.299999999999999,D50,0)</f>
        <v>1</v>
      </c>
      <c r="E60">
        <f t="shared" ref="E60:M60" si="3">IF(E58&gt;0.299999999999999,E50,0)</f>
        <v>2</v>
      </c>
      <c r="F60">
        <f t="shared" si="3"/>
        <v>3</v>
      </c>
      <c r="G60">
        <f t="shared" si="3"/>
        <v>4</v>
      </c>
      <c r="H60">
        <f t="shared" si="3"/>
        <v>0</v>
      </c>
      <c r="I60">
        <f t="shared" si="3"/>
        <v>0</v>
      </c>
      <c r="J60">
        <f t="shared" si="3"/>
        <v>0</v>
      </c>
      <c r="K60">
        <f t="shared" si="3"/>
        <v>0</v>
      </c>
      <c r="L60">
        <f t="shared" si="3"/>
        <v>9</v>
      </c>
      <c r="M60">
        <f t="shared" si="3"/>
        <v>10</v>
      </c>
    </row>
    <row r="62" spans="2:13" x14ac:dyDescent="0.25">
      <c r="B62" s="260" t="s">
        <v>5</v>
      </c>
      <c r="D62">
        <f>SUM(D60:M60)</f>
        <v>29</v>
      </c>
    </row>
  </sheetData>
  <sheetProtection sheet="1" objects="1" scenarios="1"/>
  <conditionalFormatting sqref="D58:M58">
    <cfRule type="cellIs" dxfId="8" priority="1" operator="lessThan">
      <formula>0.3</formula>
    </cfRule>
    <cfRule type="cellIs" dxfId="7" priority="2" operator="greaterThan">
      <formula>0.299999999999999</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89F7-686A-4328-9AC5-AA2C26713F89}">
  <dimension ref="A3:O41"/>
  <sheetViews>
    <sheetView topLeftCell="B25" zoomScale="130" zoomScaleNormal="130" workbookViewId="0">
      <selection activeCell="D41" sqref="D41"/>
    </sheetView>
  </sheetViews>
  <sheetFormatPr baseColWidth="10" defaultRowHeight="15" x14ac:dyDescent="0.25"/>
  <cols>
    <col min="1" max="1" width="12.5703125" customWidth="1"/>
    <col min="2" max="2" width="46.140625" customWidth="1"/>
    <col min="3" max="3" width="4.85546875" style="243" customWidth="1"/>
  </cols>
  <sheetData>
    <row r="3" spans="1:14" ht="30" x14ac:dyDescent="0.25">
      <c r="A3" s="234" t="s">
        <v>306</v>
      </c>
      <c r="B3" s="246"/>
      <c r="C3" s="247"/>
      <c r="D3" s="248"/>
      <c r="E3" s="249"/>
      <c r="F3" s="249"/>
      <c r="G3" s="249"/>
      <c r="H3" s="249"/>
      <c r="I3" s="249"/>
      <c r="J3" s="249"/>
      <c r="K3" s="249"/>
      <c r="L3" s="249"/>
      <c r="M3" s="249"/>
    </row>
    <row r="4" spans="1:14" x14ac:dyDescent="0.25">
      <c r="A4" s="235"/>
      <c r="B4" s="240"/>
      <c r="D4" s="244">
        <v>43891</v>
      </c>
      <c r="E4" s="245">
        <v>43922</v>
      </c>
      <c r="F4" s="245">
        <v>43952</v>
      </c>
      <c r="G4" s="245">
        <v>43983</v>
      </c>
      <c r="H4" s="245">
        <v>44013</v>
      </c>
      <c r="I4" s="245">
        <v>44044</v>
      </c>
      <c r="J4" s="245">
        <v>44075</v>
      </c>
      <c r="K4" s="245">
        <v>44105</v>
      </c>
      <c r="L4" s="245">
        <v>44136</v>
      </c>
      <c r="M4" s="245">
        <v>44166</v>
      </c>
    </row>
    <row r="5" spans="1:14" x14ac:dyDescent="0.25">
      <c r="A5" s="236"/>
      <c r="B5" s="241" t="s">
        <v>307</v>
      </c>
      <c r="D5" s="261"/>
      <c r="E5" s="262"/>
      <c r="F5" s="262"/>
      <c r="G5" s="262"/>
      <c r="H5" s="262"/>
      <c r="I5" s="262"/>
      <c r="J5" s="262"/>
      <c r="K5" s="262"/>
      <c r="L5" s="262"/>
      <c r="M5" s="262"/>
    </row>
    <row r="6" spans="1:14" x14ac:dyDescent="0.25">
      <c r="A6" s="237" t="s">
        <v>308</v>
      </c>
      <c r="B6" s="241" t="s">
        <v>357</v>
      </c>
      <c r="D6" s="261"/>
      <c r="E6" s="262"/>
      <c r="F6" s="262"/>
      <c r="G6" s="262"/>
      <c r="H6" s="262"/>
      <c r="I6" s="262"/>
      <c r="J6" s="262"/>
      <c r="K6" s="262"/>
      <c r="L6" s="262"/>
      <c r="M6" s="262"/>
    </row>
    <row r="7" spans="1:14" ht="63.75" x14ac:dyDescent="0.25">
      <c r="A7" s="238"/>
      <c r="B7" s="242" t="s">
        <v>358</v>
      </c>
      <c r="D7" s="267">
        <v>20000</v>
      </c>
      <c r="E7" s="268">
        <v>2</v>
      </c>
      <c r="F7" s="268">
        <v>3</v>
      </c>
      <c r="G7" s="268">
        <v>4</v>
      </c>
      <c r="H7" s="268">
        <v>5</v>
      </c>
      <c r="I7" s="268">
        <v>6</v>
      </c>
      <c r="J7" s="268">
        <v>7</v>
      </c>
      <c r="K7" s="268">
        <v>8</v>
      </c>
      <c r="L7" s="268">
        <v>9</v>
      </c>
      <c r="M7" s="268">
        <v>10</v>
      </c>
    </row>
    <row r="8" spans="1:14" ht="25.5" x14ac:dyDescent="0.25">
      <c r="A8" s="238"/>
      <c r="B8" s="242" t="s">
        <v>359</v>
      </c>
      <c r="D8" s="267"/>
      <c r="E8" s="268"/>
      <c r="F8" s="268">
        <v>5000</v>
      </c>
      <c r="G8" s="268"/>
      <c r="H8" s="268"/>
      <c r="I8" s="268">
        <v>28500</v>
      </c>
      <c r="J8" s="268"/>
      <c r="K8" s="268"/>
      <c r="L8" s="268"/>
      <c r="M8" s="268"/>
    </row>
    <row r="9" spans="1:14" ht="25.5" x14ac:dyDescent="0.25">
      <c r="A9" s="238"/>
      <c r="B9" s="242" t="s">
        <v>360</v>
      </c>
      <c r="D9" s="267"/>
      <c r="E9" s="268"/>
      <c r="F9" s="268"/>
      <c r="G9" s="268"/>
      <c r="H9" s="268"/>
      <c r="I9" s="268"/>
      <c r="J9" s="268"/>
      <c r="K9" s="268"/>
      <c r="L9" s="268"/>
      <c r="M9" s="268"/>
    </row>
    <row r="10" spans="1:14" x14ac:dyDescent="0.25">
      <c r="A10" s="238"/>
      <c r="B10" s="242" t="s">
        <v>361</v>
      </c>
      <c r="D10" s="267"/>
      <c r="E10" s="268"/>
      <c r="F10" s="268"/>
      <c r="G10" s="268"/>
      <c r="H10" s="268"/>
      <c r="I10" s="268"/>
      <c r="J10" s="268"/>
      <c r="K10" s="268"/>
      <c r="L10" s="268"/>
      <c r="M10" s="268"/>
    </row>
    <row r="11" spans="1:14" x14ac:dyDescent="0.25">
      <c r="A11" s="239"/>
      <c r="B11" s="242" t="s">
        <v>362</v>
      </c>
      <c r="D11" s="267">
        <f>SUM(D7:D10)</f>
        <v>20000</v>
      </c>
      <c r="E11" s="267">
        <f t="shared" ref="E11:M11" si="0">SUM(E7:E10)</f>
        <v>2</v>
      </c>
      <c r="F11" s="267">
        <f t="shared" si="0"/>
        <v>5003</v>
      </c>
      <c r="G11" s="267">
        <f t="shared" si="0"/>
        <v>4</v>
      </c>
      <c r="H11" s="267">
        <f t="shared" si="0"/>
        <v>5</v>
      </c>
      <c r="I11" s="267">
        <f t="shared" si="0"/>
        <v>28506</v>
      </c>
      <c r="J11" s="267">
        <f t="shared" si="0"/>
        <v>7</v>
      </c>
      <c r="K11" s="267">
        <f t="shared" si="0"/>
        <v>8</v>
      </c>
      <c r="L11" s="267">
        <f t="shared" si="0"/>
        <v>9</v>
      </c>
      <c r="M11" s="267">
        <f t="shared" si="0"/>
        <v>10</v>
      </c>
    </row>
    <row r="12" spans="1:14" x14ac:dyDescent="0.25">
      <c r="A12" s="239"/>
      <c r="B12" s="242" t="s">
        <v>363</v>
      </c>
      <c r="D12" s="269">
        <f>D11*0.5</f>
        <v>10000</v>
      </c>
      <c r="E12" s="269">
        <f t="shared" ref="E12:M12" si="1">E11*0.5</f>
        <v>1</v>
      </c>
      <c r="F12" s="269">
        <f t="shared" si="1"/>
        <v>2501.5</v>
      </c>
      <c r="G12" s="269">
        <f t="shared" si="1"/>
        <v>2</v>
      </c>
      <c r="H12" s="269">
        <f t="shared" si="1"/>
        <v>2.5</v>
      </c>
      <c r="I12" s="269">
        <f t="shared" si="1"/>
        <v>14253</v>
      </c>
      <c r="J12" s="269">
        <f t="shared" si="1"/>
        <v>3.5</v>
      </c>
      <c r="K12" s="269">
        <f t="shared" si="1"/>
        <v>4</v>
      </c>
      <c r="L12" s="269">
        <f t="shared" si="1"/>
        <v>4.5</v>
      </c>
      <c r="M12" s="269">
        <f t="shared" si="1"/>
        <v>5</v>
      </c>
    </row>
    <row r="13" spans="1:14" x14ac:dyDescent="0.25">
      <c r="A13" s="235"/>
      <c r="B13" s="240"/>
      <c r="C13" s="247"/>
      <c r="D13" s="269"/>
      <c r="E13" s="270"/>
      <c r="F13" s="270"/>
      <c r="G13" s="270"/>
      <c r="H13" s="270"/>
      <c r="I13" s="270"/>
      <c r="J13" s="270"/>
      <c r="K13" s="270"/>
      <c r="L13" s="270"/>
      <c r="M13" s="270"/>
      <c r="N13" s="178"/>
    </row>
    <row r="14" spans="1:14" ht="30" x14ac:dyDescent="0.25">
      <c r="A14" s="234" t="s">
        <v>343</v>
      </c>
      <c r="B14" s="240"/>
      <c r="D14" s="269"/>
      <c r="E14" s="270"/>
      <c r="F14" s="270"/>
      <c r="G14" s="270"/>
      <c r="H14" s="270"/>
      <c r="I14" s="270"/>
      <c r="J14" s="270"/>
      <c r="K14" s="270"/>
      <c r="L14" s="270"/>
      <c r="M14" s="270"/>
      <c r="N14" s="178"/>
    </row>
    <row r="15" spans="1:14" x14ac:dyDescent="0.25">
      <c r="A15" s="235"/>
      <c r="B15" s="240"/>
      <c r="D15" s="269"/>
      <c r="E15" s="270"/>
      <c r="F15" s="270"/>
      <c r="G15" s="270"/>
      <c r="H15" s="270"/>
      <c r="I15" s="270"/>
      <c r="J15" s="270"/>
      <c r="K15" s="270"/>
      <c r="L15" s="270"/>
      <c r="M15" s="270"/>
      <c r="N15" s="178"/>
    </row>
    <row r="16" spans="1:14" x14ac:dyDescent="0.25">
      <c r="A16" s="237"/>
      <c r="B16" s="241" t="s">
        <v>307</v>
      </c>
      <c r="D16" s="269"/>
      <c r="E16" s="270"/>
      <c r="F16" s="270"/>
      <c r="G16" s="270"/>
      <c r="H16" s="270"/>
      <c r="I16" s="270"/>
      <c r="J16" s="270"/>
      <c r="K16" s="270"/>
      <c r="L16" s="270"/>
      <c r="M16" s="270"/>
      <c r="N16" s="178"/>
    </row>
    <row r="17" spans="1:15" x14ac:dyDescent="0.25">
      <c r="A17" s="236" t="s">
        <v>308</v>
      </c>
      <c r="B17" s="242" t="s">
        <v>364</v>
      </c>
      <c r="D17" s="267">
        <v>100000</v>
      </c>
      <c r="E17" s="268"/>
      <c r="F17" s="268"/>
      <c r="G17" s="268"/>
      <c r="H17" s="268"/>
      <c r="I17" s="268"/>
      <c r="J17" s="268"/>
      <c r="K17" s="268"/>
      <c r="L17" s="268"/>
      <c r="M17" s="268"/>
    </row>
    <row r="18" spans="1:15" x14ac:dyDescent="0.25">
      <c r="A18" s="238"/>
      <c r="B18" s="242" t="s">
        <v>365</v>
      </c>
      <c r="D18" s="267">
        <v>2000</v>
      </c>
      <c r="E18" s="268"/>
      <c r="F18" s="268"/>
      <c r="G18" s="268"/>
      <c r="H18" s="268"/>
      <c r="I18" s="268"/>
      <c r="J18" s="268"/>
      <c r="K18" s="268"/>
      <c r="L18" s="268"/>
      <c r="M18" s="268"/>
    </row>
    <row r="19" spans="1:15" x14ac:dyDescent="0.25">
      <c r="A19" s="238"/>
      <c r="B19" s="242" t="s">
        <v>366</v>
      </c>
      <c r="D19" s="267">
        <v>30000</v>
      </c>
      <c r="E19" s="268"/>
      <c r="F19" s="268"/>
      <c r="G19" s="268"/>
      <c r="H19" s="268"/>
      <c r="I19" s="268"/>
      <c r="J19" s="268"/>
      <c r="K19" s="268"/>
      <c r="L19" s="268"/>
      <c r="M19" s="268"/>
    </row>
    <row r="20" spans="1:15" x14ac:dyDescent="0.25">
      <c r="A20" s="238"/>
      <c r="B20" s="242" t="s">
        <v>367</v>
      </c>
      <c r="D20" s="267">
        <v>8000</v>
      </c>
      <c r="E20" s="268"/>
      <c r="F20" s="268"/>
      <c r="G20" s="268"/>
      <c r="H20" s="268"/>
      <c r="I20" s="268"/>
      <c r="J20" s="268"/>
      <c r="K20" s="268"/>
      <c r="L20" s="268"/>
      <c r="M20" s="268"/>
    </row>
    <row r="21" spans="1:15" x14ac:dyDescent="0.25">
      <c r="A21" s="238"/>
      <c r="B21" s="242" t="s">
        <v>371</v>
      </c>
      <c r="D21" s="269">
        <f>D17-D18-D19-D20</f>
        <v>60000</v>
      </c>
      <c r="E21" s="269">
        <f t="shared" ref="E21:M21" si="2">E17-E18-E19-E20</f>
        <v>0</v>
      </c>
      <c r="F21" s="269">
        <f t="shared" si="2"/>
        <v>0</v>
      </c>
      <c r="G21" s="269">
        <f t="shared" si="2"/>
        <v>0</v>
      </c>
      <c r="H21" s="269">
        <f t="shared" si="2"/>
        <v>0</v>
      </c>
      <c r="I21" s="269">
        <f t="shared" si="2"/>
        <v>0</v>
      </c>
      <c r="J21" s="269">
        <f t="shared" si="2"/>
        <v>0</v>
      </c>
      <c r="K21" s="269">
        <f t="shared" si="2"/>
        <v>0</v>
      </c>
      <c r="L21" s="269">
        <f t="shared" si="2"/>
        <v>0</v>
      </c>
      <c r="M21" s="269">
        <f t="shared" si="2"/>
        <v>0</v>
      </c>
    </row>
    <row r="22" spans="1:15" x14ac:dyDescent="0.25">
      <c r="A22" s="238"/>
      <c r="B22" s="242"/>
      <c r="D22" s="269"/>
      <c r="E22" s="270"/>
      <c r="F22" s="270"/>
      <c r="G22" s="270"/>
      <c r="H22" s="270"/>
      <c r="I22" s="270"/>
      <c r="J22" s="270"/>
      <c r="K22" s="270"/>
      <c r="L22" s="270"/>
      <c r="M22" s="270"/>
    </row>
    <row r="23" spans="1:15" x14ac:dyDescent="0.25">
      <c r="A23" s="238"/>
      <c r="B23" s="242" t="s">
        <v>372</v>
      </c>
      <c r="D23" s="267">
        <v>4000</v>
      </c>
      <c r="E23" s="267">
        <v>1</v>
      </c>
      <c r="F23" s="267">
        <v>1</v>
      </c>
      <c r="G23" s="267">
        <v>1</v>
      </c>
      <c r="H23" s="267">
        <v>1</v>
      </c>
      <c r="I23" s="267">
        <v>1</v>
      </c>
      <c r="J23" s="267">
        <v>1</v>
      </c>
      <c r="K23" s="267">
        <v>1</v>
      </c>
      <c r="L23" s="267">
        <v>1</v>
      </c>
      <c r="M23" s="267">
        <v>1</v>
      </c>
    </row>
    <row r="24" spans="1:15" x14ac:dyDescent="0.25">
      <c r="A24" s="238"/>
      <c r="B24" s="242" t="s">
        <v>373</v>
      </c>
      <c r="D24" s="267">
        <v>3000</v>
      </c>
      <c r="E24" s="267">
        <v>0</v>
      </c>
      <c r="F24" s="267">
        <v>1</v>
      </c>
      <c r="G24" s="267">
        <v>1</v>
      </c>
      <c r="H24" s="267">
        <v>1</v>
      </c>
      <c r="I24" s="267">
        <v>1</v>
      </c>
      <c r="J24" s="267">
        <v>1</v>
      </c>
      <c r="K24" s="267">
        <v>1</v>
      </c>
      <c r="L24" s="267">
        <v>1</v>
      </c>
      <c r="M24" s="267">
        <v>1</v>
      </c>
      <c r="N24" s="271"/>
    </row>
    <row r="25" spans="1:15" x14ac:dyDescent="0.25">
      <c r="A25" s="238"/>
      <c r="B25" s="242" t="s">
        <v>374</v>
      </c>
      <c r="D25" s="272">
        <f>D24/D23</f>
        <v>0.75</v>
      </c>
      <c r="E25" s="272">
        <f t="shared" ref="E25:M25" si="3">E24/E23</f>
        <v>0</v>
      </c>
      <c r="F25" s="272">
        <f t="shared" si="3"/>
        <v>1</v>
      </c>
      <c r="G25" s="272">
        <f t="shared" si="3"/>
        <v>1</v>
      </c>
      <c r="H25" s="272">
        <f t="shared" si="3"/>
        <v>1</v>
      </c>
      <c r="I25" s="272">
        <f t="shared" si="3"/>
        <v>1</v>
      </c>
      <c r="J25" s="272">
        <f t="shared" si="3"/>
        <v>1</v>
      </c>
      <c r="K25" s="272">
        <f t="shared" si="3"/>
        <v>1</v>
      </c>
      <c r="L25" s="272">
        <f t="shared" si="3"/>
        <v>1</v>
      </c>
      <c r="M25" s="272">
        <f t="shared" si="3"/>
        <v>1</v>
      </c>
      <c r="N25" s="273"/>
      <c r="O25" s="273"/>
    </row>
    <row r="26" spans="1:15" x14ac:dyDescent="0.25">
      <c r="A26" s="238"/>
      <c r="B26" s="242" t="s">
        <v>375</v>
      </c>
      <c r="D26" s="267">
        <f>D25*D21</f>
        <v>45000</v>
      </c>
      <c r="E26" s="267">
        <f t="shared" ref="E26:M26" si="4">E25*E21</f>
        <v>0</v>
      </c>
      <c r="F26" s="267">
        <f t="shared" si="4"/>
        <v>0</v>
      </c>
      <c r="G26" s="267">
        <f t="shared" si="4"/>
        <v>0</v>
      </c>
      <c r="H26" s="267">
        <f t="shared" si="4"/>
        <v>0</v>
      </c>
      <c r="I26" s="267">
        <f t="shared" si="4"/>
        <v>0</v>
      </c>
      <c r="J26" s="267">
        <f t="shared" si="4"/>
        <v>0</v>
      </c>
      <c r="K26" s="267">
        <f t="shared" si="4"/>
        <v>0</v>
      </c>
      <c r="L26" s="267">
        <f t="shared" si="4"/>
        <v>0</v>
      </c>
      <c r="M26" s="267">
        <f t="shared" si="4"/>
        <v>0</v>
      </c>
    </row>
    <row r="27" spans="1:15" x14ac:dyDescent="0.25">
      <c r="A27" s="238"/>
      <c r="B27" s="242" t="s">
        <v>376</v>
      </c>
      <c r="D27" s="267">
        <f>D26*0.5</f>
        <v>22500</v>
      </c>
      <c r="E27" s="267">
        <f t="shared" ref="E27:M27" si="5">E26*0.5</f>
        <v>0</v>
      </c>
      <c r="F27" s="267">
        <f t="shared" si="5"/>
        <v>0</v>
      </c>
      <c r="G27" s="267">
        <f t="shared" si="5"/>
        <v>0</v>
      </c>
      <c r="H27" s="267">
        <f t="shared" si="5"/>
        <v>0</v>
      </c>
      <c r="I27" s="267">
        <f t="shared" si="5"/>
        <v>0</v>
      </c>
      <c r="J27" s="267">
        <f t="shared" si="5"/>
        <v>0</v>
      </c>
      <c r="K27" s="267">
        <f t="shared" si="5"/>
        <v>0</v>
      </c>
      <c r="L27" s="267">
        <f t="shared" si="5"/>
        <v>0</v>
      </c>
      <c r="M27" s="267">
        <f t="shared" si="5"/>
        <v>0</v>
      </c>
    </row>
    <row r="28" spans="1:15" x14ac:dyDescent="0.25">
      <c r="A28" s="238"/>
      <c r="B28" s="242"/>
      <c r="D28" s="233"/>
      <c r="E28" s="233"/>
      <c r="F28" s="233"/>
      <c r="G28" s="233"/>
      <c r="H28" s="233"/>
      <c r="I28" s="233"/>
      <c r="J28" s="233"/>
      <c r="K28" s="233"/>
      <c r="L28" s="233"/>
      <c r="M28" s="233"/>
    </row>
    <row r="29" spans="1:15" x14ac:dyDescent="0.25">
      <c r="A29" s="238"/>
      <c r="B29" s="242" t="s">
        <v>377</v>
      </c>
      <c r="D29" s="233">
        <f>D11+MAX(D12,D27)</f>
        <v>42500</v>
      </c>
      <c r="E29" s="233">
        <f t="shared" ref="E29:M29" si="6">E11+MAX(E12,E27)</f>
        <v>3</v>
      </c>
      <c r="F29" s="233">
        <f t="shared" si="6"/>
        <v>7504.5</v>
      </c>
      <c r="G29" s="233">
        <f t="shared" si="6"/>
        <v>6</v>
      </c>
      <c r="H29" s="233">
        <f t="shared" si="6"/>
        <v>7.5</v>
      </c>
      <c r="I29" s="233">
        <f t="shared" si="6"/>
        <v>42759</v>
      </c>
      <c r="J29" s="233">
        <f t="shared" si="6"/>
        <v>10.5</v>
      </c>
      <c r="K29" s="233">
        <f t="shared" si="6"/>
        <v>12</v>
      </c>
      <c r="L29" s="233">
        <f t="shared" si="6"/>
        <v>13.5</v>
      </c>
      <c r="M29" s="233">
        <f t="shared" si="6"/>
        <v>15</v>
      </c>
    </row>
    <row r="32" spans="1:15" x14ac:dyDescent="0.25">
      <c r="D32" s="244">
        <f t="shared" ref="D32:M32" si="7">D4</f>
        <v>43891</v>
      </c>
      <c r="E32" s="245">
        <f t="shared" si="7"/>
        <v>43922</v>
      </c>
      <c r="F32" s="245">
        <f t="shared" si="7"/>
        <v>43952</v>
      </c>
      <c r="G32" s="245">
        <f t="shared" si="7"/>
        <v>43983</v>
      </c>
      <c r="H32" s="245">
        <f t="shared" si="7"/>
        <v>44013</v>
      </c>
      <c r="I32" s="245">
        <f t="shared" si="7"/>
        <v>44044</v>
      </c>
      <c r="J32" s="245">
        <f t="shared" si="7"/>
        <v>44075</v>
      </c>
      <c r="K32" s="245">
        <f t="shared" si="7"/>
        <v>44105</v>
      </c>
      <c r="L32" s="245">
        <f t="shared" si="7"/>
        <v>44136</v>
      </c>
      <c r="M32" s="245">
        <f t="shared" si="7"/>
        <v>44166</v>
      </c>
    </row>
    <row r="33" spans="2:13" x14ac:dyDescent="0.25">
      <c r="B33" t="s">
        <v>262</v>
      </c>
      <c r="D33" s="266">
        <v>5000</v>
      </c>
      <c r="E33" s="266">
        <v>1</v>
      </c>
      <c r="F33" s="266">
        <v>1</v>
      </c>
      <c r="G33" s="266">
        <v>1</v>
      </c>
      <c r="H33" s="266">
        <v>1</v>
      </c>
      <c r="I33" s="266">
        <v>1</v>
      </c>
      <c r="J33" s="266">
        <v>1</v>
      </c>
      <c r="K33" s="266">
        <v>1</v>
      </c>
      <c r="L33" s="233">
        <f>'Kalkulation Ü III'!B27</f>
        <v>10450</v>
      </c>
      <c r="M33" s="233">
        <f>'Kalkulation Ü III'!D27</f>
        <v>10450</v>
      </c>
    </row>
    <row r="34" spans="2:13" ht="15.75" thickBot="1" x14ac:dyDescent="0.3">
      <c r="D34" s="244">
        <v>43525</v>
      </c>
      <c r="E34" s="245">
        <v>43556</v>
      </c>
      <c r="F34" s="245">
        <v>43586</v>
      </c>
      <c r="G34" s="245">
        <v>43617</v>
      </c>
      <c r="H34" s="255">
        <v>43647</v>
      </c>
      <c r="I34" s="255">
        <v>43678</v>
      </c>
      <c r="J34" s="255">
        <v>43709</v>
      </c>
      <c r="K34" s="255">
        <v>43739</v>
      </c>
      <c r="L34" s="245">
        <v>43770</v>
      </c>
      <c r="M34" s="245">
        <v>43800</v>
      </c>
    </row>
    <row r="35" spans="2:13" ht="15.75" thickBot="1" x14ac:dyDescent="0.3">
      <c r="B35" t="s">
        <v>347</v>
      </c>
      <c r="D35" s="233">
        <f>'Kalkulation Ü III'!J19</f>
        <v>15500</v>
      </c>
      <c r="E35" s="233">
        <f>'Kalkulation Ü III'!L19</f>
        <v>15500</v>
      </c>
      <c r="F35" s="233">
        <f>'Kalkulation Ü III'!N19</f>
        <v>13000</v>
      </c>
      <c r="G35" s="233">
        <f>'Kalkulation Ü III'!P19</f>
        <v>8500</v>
      </c>
      <c r="H35" s="263">
        <v>1</v>
      </c>
      <c r="I35" s="264">
        <v>1</v>
      </c>
      <c r="J35" s="264">
        <v>1</v>
      </c>
      <c r="K35" s="265">
        <v>1</v>
      </c>
      <c r="L35" s="233">
        <f>'Kalkulation Ü III'!B19</f>
        <v>15500</v>
      </c>
      <c r="M35" s="233">
        <f>'Kalkulation Ü III'!D19</f>
        <v>15500</v>
      </c>
    </row>
    <row r="37" spans="2:13" x14ac:dyDescent="0.25">
      <c r="B37" t="s">
        <v>348</v>
      </c>
      <c r="D37" s="259">
        <f>(D35-D33)/D35</f>
        <v>0.67741935483870963</v>
      </c>
      <c r="E37" s="259">
        <f t="shared" ref="E37:M37" si="8">(E35-E33)/E35</f>
        <v>0.99993548387096776</v>
      </c>
      <c r="F37" s="259">
        <f t="shared" si="8"/>
        <v>0.99992307692307691</v>
      </c>
      <c r="G37" s="259">
        <f t="shared" si="8"/>
        <v>0.99988235294117644</v>
      </c>
      <c r="H37" s="259">
        <f t="shared" si="8"/>
        <v>0</v>
      </c>
      <c r="I37" s="259">
        <f t="shared" si="8"/>
        <v>0</v>
      </c>
      <c r="J37" s="259">
        <f t="shared" si="8"/>
        <v>0</v>
      </c>
      <c r="K37" s="259">
        <f t="shared" si="8"/>
        <v>0</v>
      </c>
      <c r="L37" s="259">
        <f t="shared" si="8"/>
        <v>0.32580645161290323</v>
      </c>
      <c r="M37" s="259">
        <f t="shared" si="8"/>
        <v>0.32580645161290323</v>
      </c>
    </row>
    <row r="38" spans="2:13" x14ac:dyDescent="0.25">
      <c r="D38" s="233"/>
      <c r="E38" s="233"/>
      <c r="F38" s="233"/>
      <c r="G38" s="233"/>
      <c r="H38" s="233"/>
      <c r="I38" s="233"/>
      <c r="J38" s="233"/>
      <c r="K38" s="233"/>
      <c r="L38" s="233"/>
      <c r="M38" s="233"/>
    </row>
    <row r="39" spans="2:13" x14ac:dyDescent="0.25">
      <c r="B39" t="s">
        <v>349</v>
      </c>
      <c r="D39" s="233">
        <f>IF(D37&gt;0.299999999999999,D29,0)</f>
        <v>42500</v>
      </c>
      <c r="E39" s="233">
        <f t="shared" ref="E39:M39" si="9">IF(E37&gt;0.299999999999999,E29,0)</f>
        <v>3</v>
      </c>
      <c r="F39" s="233">
        <f t="shared" si="9"/>
        <v>7504.5</v>
      </c>
      <c r="G39" s="233">
        <f t="shared" si="9"/>
        <v>6</v>
      </c>
      <c r="H39" s="233">
        <f t="shared" si="9"/>
        <v>0</v>
      </c>
      <c r="I39" s="233">
        <f t="shared" si="9"/>
        <v>0</v>
      </c>
      <c r="J39" s="233">
        <f t="shared" si="9"/>
        <v>0</v>
      </c>
      <c r="K39" s="233">
        <f t="shared" si="9"/>
        <v>0</v>
      </c>
      <c r="L39" s="233">
        <f t="shared" si="9"/>
        <v>13.5</v>
      </c>
      <c r="M39" s="233">
        <f t="shared" si="9"/>
        <v>15</v>
      </c>
    </row>
    <row r="40" spans="2:13" x14ac:dyDescent="0.25">
      <c r="D40" s="233"/>
      <c r="E40" s="233"/>
      <c r="F40" s="233"/>
      <c r="G40" s="233"/>
      <c r="H40" s="233"/>
      <c r="I40" s="233"/>
      <c r="J40" s="233"/>
      <c r="K40" s="233"/>
      <c r="L40" s="233"/>
      <c r="M40" s="233"/>
    </row>
    <row r="41" spans="2:13" x14ac:dyDescent="0.25">
      <c r="B41" s="260" t="s">
        <v>5</v>
      </c>
      <c r="D41" s="233">
        <f>SUM(D39:M39)</f>
        <v>50042</v>
      </c>
      <c r="E41" s="233"/>
      <c r="F41" s="233"/>
      <c r="G41" s="233"/>
      <c r="H41" s="233"/>
      <c r="I41" s="233"/>
      <c r="J41" s="233"/>
      <c r="K41" s="233"/>
      <c r="L41" s="233"/>
      <c r="M41" s="233"/>
    </row>
  </sheetData>
  <conditionalFormatting sqref="D37:M37">
    <cfRule type="cellIs" dxfId="6" priority="1" operator="lessThan">
      <formula>0.3</formula>
    </cfRule>
    <cfRule type="cellIs" dxfId="5" priority="2" operator="greaterThan">
      <formula>0.299999999999999</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E2FF3-A2A4-4CB4-A8CA-5CF848386D02}">
  <sheetPr>
    <pageSetUpPr fitToPage="1"/>
  </sheetPr>
  <dimension ref="A1:P367"/>
  <sheetViews>
    <sheetView topLeftCell="A50" workbookViewId="0">
      <selection activeCell="A95" sqref="A95"/>
    </sheetView>
  </sheetViews>
  <sheetFormatPr baseColWidth="10" defaultColWidth="11.42578125" defaultRowHeight="15" outlineLevelRow="1" x14ac:dyDescent="0.2"/>
  <cols>
    <col min="1" max="1" width="63.7109375" style="132" customWidth="1"/>
    <col min="2" max="2" width="20.7109375" style="132" customWidth="1"/>
    <col min="3" max="3" width="2.85546875" style="132" customWidth="1"/>
    <col min="4" max="4" width="20.7109375" style="132" customWidth="1"/>
    <col min="5" max="5" width="2.140625" style="132" customWidth="1"/>
    <col min="6" max="6" width="20.7109375" style="132" customWidth="1"/>
    <col min="7" max="7" width="1.5703125" style="132" customWidth="1"/>
    <col min="8" max="8" width="20.7109375" style="132" customWidth="1"/>
    <col min="9" max="9" width="2.28515625" style="132" customWidth="1"/>
    <col min="10" max="10" width="20.7109375" style="132" customWidth="1"/>
    <col min="11" max="11" width="2.140625" style="132" customWidth="1"/>
    <col min="12" max="12" width="20.7109375" style="132" customWidth="1"/>
    <col min="13" max="13" width="2.140625" style="132" customWidth="1"/>
    <col min="14" max="14" width="20.7109375" style="132" customWidth="1"/>
    <col min="15" max="15" width="2.28515625" style="132" customWidth="1"/>
    <col min="16" max="16" width="20.7109375" style="132" customWidth="1"/>
    <col min="17" max="16384" width="11.42578125" style="132"/>
  </cols>
  <sheetData>
    <row r="1" spans="1:16" ht="15.75" x14ac:dyDescent="0.2">
      <c r="A1" s="130" t="s">
        <v>0</v>
      </c>
      <c r="B1" s="41"/>
      <c r="C1" s="41"/>
      <c r="D1" s="41"/>
      <c r="E1" s="41"/>
      <c r="F1" s="41"/>
      <c r="G1" s="41"/>
      <c r="H1" s="41"/>
      <c r="I1" s="41"/>
      <c r="J1" s="131" t="s">
        <v>1</v>
      </c>
      <c r="K1" s="277" t="str">
        <f>+Anspruchsvoraussetzung!J1</f>
        <v>Mustermann, Max</v>
      </c>
      <c r="L1" s="277"/>
      <c r="M1" s="277"/>
      <c r="N1" s="277"/>
    </row>
    <row r="2" spans="1:16" ht="15.75" x14ac:dyDescent="0.2">
      <c r="A2" s="133" t="s">
        <v>353</v>
      </c>
      <c r="B2" s="41"/>
      <c r="C2" s="41"/>
      <c r="D2" s="41"/>
      <c r="E2" s="41"/>
      <c r="F2" s="41"/>
      <c r="G2" s="41"/>
      <c r="H2" s="41"/>
      <c r="I2" s="41"/>
      <c r="J2" s="131" t="s">
        <v>2</v>
      </c>
      <c r="K2" s="277" t="str">
        <f>+Anspruchsvoraussetzung!J2</f>
        <v>205/5371/5211</v>
      </c>
      <c r="L2" s="277"/>
      <c r="M2" s="277"/>
      <c r="N2" s="277"/>
    </row>
    <row r="3" spans="1:16" ht="15.75" customHeight="1" x14ac:dyDescent="0.2">
      <c r="A3" s="152"/>
      <c r="B3" s="41"/>
      <c r="C3" s="41"/>
      <c r="D3" s="41"/>
      <c r="E3" s="41"/>
      <c r="F3" s="41"/>
      <c r="G3" s="41"/>
      <c r="H3" s="131"/>
      <c r="I3" s="41"/>
      <c r="J3" s="131" t="s">
        <v>3</v>
      </c>
      <c r="K3" s="277" t="str">
        <f>+Anspruchsvoraussetzung!J3</f>
        <v>Teststadt</v>
      </c>
      <c r="L3" s="277"/>
      <c r="M3" s="277"/>
      <c r="N3" s="277"/>
    </row>
    <row r="4" spans="1:16" ht="15.75" x14ac:dyDescent="0.25">
      <c r="A4" s="153" t="s">
        <v>212</v>
      </c>
    </row>
    <row r="5" spans="1:16" ht="15.75" x14ac:dyDescent="0.25">
      <c r="A5" s="153"/>
    </row>
    <row r="6" spans="1:16" x14ac:dyDescent="0.2">
      <c r="A6" s="139" t="s">
        <v>84</v>
      </c>
    </row>
    <row r="7" spans="1:16" x14ac:dyDescent="0.2">
      <c r="A7" s="139" t="s">
        <v>99</v>
      </c>
    </row>
    <row r="8" spans="1:16" x14ac:dyDescent="0.2">
      <c r="A8" s="139" t="s">
        <v>100</v>
      </c>
    </row>
    <row r="10" spans="1:16" ht="15.75" x14ac:dyDescent="0.25">
      <c r="B10" s="12">
        <v>43891</v>
      </c>
      <c r="C10" s="12"/>
      <c r="D10" s="12">
        <v>43922</v>
      </c>
      <c r="E10" s="12">
        <v>43952</v>
      </c>
      <c r="F10" s="12">
        <v>43952</v>
      </c>
      <c r="G10" s="12">
        <v>43983</v>
      </c>
      <c r="H10" s="12">
        <v>43983</v>
      </c>
      <c r="I10" s="12"/>
      <c r="J10" s="12">
        <v>44013</v>
      </c>
      <c r="K10" s="12">
        <v>44075</v>
      </c>
      <c r="L10" s="12">
        <v>44044</v>
      </c>
      <c r="M10" s="12">
        <v>44105</v>
      </c>
      <c r="N10" s="12">
        <v>44075</v>
      </c>
      <c r="O10" s="12"/>
      <c r="P10" s="12">
        <v>44105</v>
      </c>
    </row>
    <row r="12" spans="1:16" hidden="1" outlineLevel="1" x14ac:dyDescent="0.2">
      <c r="A12" s="132" t="s">
        <v>90</v>
      </c>
      <c r="B12" s="36">
        <v>1000</v>
      </c>
      <c r="C12" s="41"/>
      <c r="D12" s="36">
        <v>1000</v>
      </c>
      <c r="E12" s="53"/>
      <c r="F12" s="36">
        <v>1000</v>
      </c>
      <c r="G12" s="41"/>
      <c r="H12" s="36">
        <v>1000</v>
      </c>
      <c r="J12" s="36">
        <v>1000</v>
      </c>
      <c r="K12" s="2"/>
      <c r="L12" s="36">
        <v>1000</v>
      </c>
      <c r="M12" s="2"/>
      <c r="N12" s="36">
        <v>1000</v>
      </c>
      <c r="O12" s="2"/>
      <c r="P12" s="36">
        <v>1000</v>
      </c>
    </row>
    <row r="13" spans="1:16" hidden="1" outlineLevel="1" x14ac:dyDescent="0.2">
      <c r="A13" s="157" t="s">
        <v>91</v>
      </c>
      <c r="B13" s="37">
        <v>500</v>
      </c>
      <c r="C13" s="158"/>
      <c r="D13" s="37">
        <v>500</v>
      </c>
      <c r="E13" s="159"/>
      <c r="F13" s="37">
        <v>500</v>
      </c>
      <c r="G13" s="158"/>
      <c r="H13" s="37">
        <v>500</v>
      </c>
      <c r="J13" s="37">
        <v>500</v>
      </c>
      <c r="K13" s="6"/>
      <c r="L13" s="37">
        <v>500</v>
      </c>
      <c r="M13" s="6"/>
      <c r="N13" s="37">
        <v>500</v>
      </c>
      <c r="O13" s="6"/>
      <c r="P13" s="37">
        <v>500</v>
      </c>
    </row>
    <row r="14" spans="1:16" collapsed="1" x14ac:dyDescent="0.2">
      <c r="A14" s="132" t="s">
        <v>17</v>
      </c>
      <c r="B14" s="41">
        <f>SUM(B12:B13)</f>
        <v>1500</v>
      </c>
      <c r="C14" s="41"/>
      <c r="D14" s="41">
        <f>SUM(D12:D13)</f>
        <v>1500</v>
      </c>
      <c r="E14" s="53"/>
      <c r="F14" s="41">
        <f>SUM(F12:F13)</f>
        <v>1500</v>
      </c>
      <c r="G14" s="41"/>
      <c r="H14" s="41">
        <f>SUM(H12:H13)</f>
        <v>1500</v>
      </c>
      <c r="J14" s="2">
        <f>SUM(J12:J13)</f>
        <v>1500</v>
      </c>
      <c r="K14" s="2"/>
      <c r="L14" s="2">
        <f>SUM(L12:L13)</f>
        <v>1500</v>
      </c>
      <c r="M14" s="2"/>
      <c r="N14" s="2">
        <f>SUM(N12:N13)</f>
        <v>1500</v>
      </c>
      <c r="O14" s="2"/>
      <c r="P14" s="2">
        <f>SUM(P12:P13)</f>
        <v>1500</v>
      </c>
    </row>
    <row r="15" spans="1:16" outlineLevel="1" x14ac:dyDescent="0.2">
      <c r="A15" s="132" t="s">
        <v>92</v>
      </c>
      <c r="B15" s="36">
        <v>150</v>
      </c>
      <c r="C15" s="41"/>
      <c r="D15" s="36">
        <v>150</v>
      </c>
      <c r="E15" s="53"/>
      <c r="F15" s="36">
        <v>150</v>
      </c>
      <c r="G15" s="41"/>
      <c r="H15" s="36">
        <v>150</v>
      </c>
      <c r="J15" s="36">
        <v>150</v>
      </c>
      <c r="K15" s="2"/>
      <c r="L15" s="36">
        <v>150</v>
      </c>
      <c r="M15" s="2"/>
      <c r="N15" s="36">
        <v>150</v>
      </c>
      <c r="O15" s="2"/>
      <c r="P15" s="36">
        <v>150</v>
      </c>
    </row>
    <row r="16" spans="1:16" outlineLevel="1" x14ac:dyDescent="0.2">
      <c r="A16" s="157" t="s">
        <v>191</v>
      </c>
      <c r="B16" s="37">
        <v>500</v>
      </c>
      <c r="C16" s="158"/>
      <c r="D16" s="37">
        <v>500</v>
      </c>
      <c r="E16" s="159"/>
      <c r="F16" s="37">
        <v>500</v>
      </c>
      <c r="G16" s="158"/>
      <c r="H16" s="37">
        <v>500</v>
      </c>
      <c r="J16" s="37">
        <v>500</v>
      </c>
      <c r="K16" s="6"/>
      <c r="L16" s="37">
        <v>500</v>
      </c>
      <c r="M16" s="6"/>
      <c r="N16" s="37">
        <v>500</v>
      </c>
      <c r="O16" s="6"/>
      <c r="P16" s="37">
        <v>500</v>
      </c>
    </row>
    <row r="17" spans="1:16" x14ac:dyDescent="0.2">
      <c r="A17" s="132" t="s">
        <v>18</v>
      </c>
      <c r="B17" s="41">
        <f>SUM(B15:B16)</f>
        <v>650</v>
      </c>
      <c r="C17" s="41"/>
      <c r="D17" s="41">
        <f>SUM(D15:D16)</f>
        <v>650</v>
      </c>
      <c r="E17" s="53"/>
      <c r="F17" s="41">
        <f>SUM(F15:F16)</f>
        <v>650</v>
      </c>
      <c r="G17" s="41"/>
      <c r="H17" s="41">
        <f>SUM(H15:H16)</f>
        <v>650</v>
      </c>
      <c r="J17" s="2">
        <f>SUM(J15:J16)</f>
        <v>650</v>
      </c>
      <c r="K17" s="2"/>
      <c r="L17" s="2">
        <f>SUM(L15:L16)</f>
        <v>650</v>
      </c>
      <c r="M17" s="2"/>
      <c r="N17" s="2">
        <f>SUM(N15:N16)</f>
        <v>650</v>
      </c>
      <c r="O17" s="2"/>
      <c r="P17" s="2">
        <f>SUM(P15:P16)</f>
        <v>650</v>
      </c>
    </row>
    <row r="18" spans="1:16" outlineLevel="1" x14ac:dyDescent="0.2">
      <c r="A18" s="132" t="s">
        <v>19</v>
      </c>
      <c r="B18" s="36">
        <v>500</v>
      </c>
      <c r="C18" s="41"/>
      <c r="D18" s="36">
        <v>500</v>
      </c>
      <c r="E18" s="53"/>
      <c r="F18" s="36">
        <v>500</v>
      </c>
      <c r="G18" s="41"/>
      <c r="H18" s="36">
        <v>500</v>
      </c>
      <c r="J18" s="36">
        <v>500</v>
      </c>
      <c r="K18" s="2"/>
      <c r="L18" s="36">
        <v>500</v>
      </c>
      <c r="M18" s="2"/>
      <c r="N18" s="36">
        <v>500</v>
      </c>
      <c r="O18" s="2"/>
      <c r="P18" s="36">
        <v>500</v>
      </c>
    </row>
    <row r="19" spans="1:16" outlineLevel="1" x14ac:dyDescent="0.2">
      <c r="A19" s="157" t="s">
        <v>20</v>
      </c>
      <c r="B19" s="37">
        <v>0</v>
      </c>
      <c r="C19" s="158"/>
      <c r="D19" s="37">
        <v>0</v>
      </c>
      <c r="E19" s="159"/>
      <c r="F19" s="37">
        <v>0</v>
      </c>
      <c r="G19" s="158"/>
      <c r="H19" s="37">
        <v>0</v>
      </c>
      <c r="J19" s="37">
        <v>0</v>
      </c>
      <c r="K19" s="6"/>
      <c r="L19" s="37">
        <v>0</v>
      </c>
      <c r="M19" s="6"/>
      <c r="N19" s="37">
        <v>0</v>
      </c>
      <c r="O19" s="6"/>
      <c r="P19" s="37">
        <v>0</v>
      </c>
    </row>
    <row r="20" spans="1:16" x14ac:dyDescent="0.2">
      <c r="A20" s="132" t="s">
        <v>21</v>
      </c>
      <c r="B20" s="41">
        <f>SUM(B18:B19)</f>
        <v>500</v>
      </c>
      <c r="C20" s="41"/>
      <c r="D20" s="41">
        <f>SUM(D18:D19)</f>
        <v>500</v>
      </c>
      <c r="E20" s="53"/>
      <c r="F20" s="41">
        <f>SUM(F18:F19)</f>
        <v>500</v>
      </c>
      <c r="G20" s="41"/>
      <c r="H20" s="41">
        <f>SUM(H18:H19)</f>
        <v>500</v>
      </c>
      <c r="J20" s="2">
        <f>SUM(J18:J19)</f>
        <v>500</v>
      </c>
      <c r="K20" s="2"/>
      <c r="L20" s="2">
        <f>SUM(L18:L19)</f>
        <v>500</v>
      </c>
      <c r="M20" s="2"/>
      <c r="N20" s="2">
        <f>SUM(N18:N19)</f>
        <v>500</v>
      </c>
      <c r="O20" s="2"/>
      <c r="P20" s="2">
        <f>SUM(P18:P19)</f>
        <v>500</v>
      </c>
    </row>
    <row r="21" spans="1:16" outlineLevel="1" x14ac:dyDescent="0.2">
      <c r="A21" s="132" t="s">
        <v>23</v>
      </c>
      <c r="B21" s="36">
        <v>0</v>
      </c>
      <c r="C21" s="41"/>
      <c r="D21" s="36">
        <v>0</v>
      </c>
      <c r="E21" s="53"/>
      <c r="F21" s="36"/>
      <c r="G21" s="41"/>
      <c r="H21" s="36">
        <v>0</v>
      </c>
      <c r="J21" s="36">
        <v>0</v>
      </c>
      <c r="K21" s="2"/>
      <c r="L21" s="36">
        <v>0</v>
      </c>
      <c r="M21" s="2"/>
      <c r="N21" s="36"/>
      <c r="O21" s="2"/>
      <c r="P21" s="36">
        <v>0</v>
      </c>
    </row>
    <row r="22" spans="1:16" outlineLevel="1" x14ac:dyDescent="0.2">
      <c r="A22" s="157" t="s">
        <v>24</v>
      </c>
      <c r="B22" s="37">
        <v>0</v>
      </c>
      <c r="C22" s="158"/>
      <c r="D22" s="37">
        <v>0</v>
      </c>
      <c r="E22" s="159"/>
      <c r="F22" s="37"/>
      <c r="G22" s="158"/>
      <c r="H22" s="37">
        <v>0</v>
      </c>
      <c r="J22" s="37">
        <v>0</v>
      </c>
      <c r="K22" s="6"/>
      <c r="L22" s="37">
        <v>0</v>
      </c>
      <c r="M22" s="6"/>
      <c r="N22" s="37"/>
      <c r="O22" s="6"/>
      <c r="P22" s="37">
        <v>0</v>
      </c>
    </row>
    <row r="23" spans="1:16" x14ac:dyDescent="0.2">
      <c r="A23" s="132" t="s">
        <v>190</v>
      </c>
      <c r="B23" s="41">
        <f>SUM(B21:B22)</f>
        <v>0</v>
      </c>
      <c r="C23" s="41"/>
      <c r="D23" s="41">
        <f>SUM(D21:D22)</f>
        <v>0</v>
      </c>
      <c r="E23" s="53"/>
      <c r="F23" s="41"/>
      <c r="G23" s="41"/>
      <c r="H23" s="41">
        <f>SUM(H21:H22)</f>
        <v>0</v>
      </c>
      <c r="J23" s="2">
        <f>SUM(J21:J22)</f>
        <v>0</v>
      </c>
      <c r="K23" s="2"/>
      <c r="L23" s="2">
        <f>SUM(L21:L22)</f>
        <v>0</v>
      </c>
      <c r="M23" s="2"/>
      <c r="N23" s="2"/>
      <c r="O23" s="2"/>
      <c r="P23" s="2">
        <f>SUM(P21:P22)</f>
        <v>0</v>
      </c>
    </row>
    <row r="24" spans="1:16" outlineLevel="1" x14ac:dyDescent="0.2">
      <c r="A24" s="132" t="s">
        <v>25</v>
      </c>
      <c r="B24" s="36">
        <v>500</v>
      </c>
      <c r="C24" s="34"/>
      <c r="D24" s="36">
        <v>500</v>
      </c>
      <c r="E24" s="50"/>
      <c r="F24" s="36">
        <v>500</v>
      </c>
      <c r="G24" s="34"/>
      <c r="H24" s="36">
        <v>500</v>
      </c>
      <c r="J24" s="36">
        <v>500</v>
      </c>
      <c r="K24" s="34"/>
      <c r="L24" s="36">
        <v>500</v>
      </c>
      <c r="M24" s="34"/>
      <c r="N24" s="36">
        <v>500</v>
      </c>
      <c r="O24" s="34"/>
      <c r="P24" s="36">
        <v>500</v>
      </c>
    </row>
    <row r="25" spans="1:16" outlineLevel="1" x14ac:dyDescent="0.2">
      <c r="A25" s="132" t="s">
        <v>26</v>
      </c>
      <c r="B25" s="36">
        <v>0</v>
      </c>
      <c r="C25" s="34"/>
      <c r="D25" s="36">
        <v>0</v>
      </c>
      <c r="E25" s="50"/>
      <c r="F25" s="36">
        <v>0</v>
      </c>
      <c r="G25" s="34"/>
      <c r="H25" s="36">
        <v>0</v>
      </c>
      <c r="J25" s="36">
        <v>0</v>
      </c>
      <c r="K25" s="34"/>
      <c r="L25" s="36">
        <v>0</v>
      </c>
      <c r="M25" s="34"/>
      <c r="N25" s="36">
        <v>0</v>
      </c>
      <c r="O25" s="34"/>
      <c r="P25" s="36">
        <v>0</v>
      </c>
    </row>
    <row r="26" spans="1:16" outlineLevel="1" x14ac:dyDescent="0.2">
      <c r="A26" s="132" t="s">
        <v>28</v>
      </c>
      <c r="B26" s="36">
        <v>0</v>
      </c>
      <c r="C26" s="34"/>
      <c r="D26" s="36">
        <v>0</v>
      </c>
      <c r="E26" s="50"/>
      <c r="F26" s="36">
        <v>0</v>
      </c>
      <c r="G26" s="34"/>
      <c r="H26" s="36">
        <v>0</v>
      </c>
      <c r="J26" s="36">
        <v>0</v>
      </c>
      <c r="K26" s="34"/>
      <c r="L26" s="36">
        <v>0</v>
      </c>
      <c r="M26" s="34"/>
      <c r="N26" s="36">
        <v>0</v>
      </c>
      <c r="O26" s="34"/>
      <c r="P26" s="36">
        <v>0</v>
      </c>
    </row>
    <row r="27" spans="1:16" outlineLevel="1" x14ac:dyDescent="0.2">
      <c r="A27" s="157" t="s">
        <v>27</v>
      </c>
      <c r="B27" s="37">
        <v>0</v>
      </c>
      <c r="C27" s="166"/>
      <c r="D27" s="37">
        <v>0</v>
      </c>
      <c r="E27" s="51"/>
      <c r="F27" s="37">
        <v>0</v>
      </c>
      <c r="G27" s="166"/>
      <c r="H27" s="37">
        <v>0</v>
      </c>
      <c r="J27" s="37">
        <v>0</v>
      </c>
      <c r="K27" s="166"/>
      <c r="L27" s="37">
        <v>0</v>
      </c>
      <c r="M27" s="166"/>
      <c r="N27" s="37">
        <v>0</v>
      </c>
      <c r="O27" s="166"/>
      <c r="P27" s="37">
        <v>0</v>
      </c>
    </row>
    <row r="28" spans="1:16" x14ac:dyDescent="0.2">
      <c r="A28" s="132" t="s">
        <v>29</v>
      </c>
      <c r="B28" s="41">
        <f>SUM(B24:B27)</f>
        <v>500</v>
      </c>
      <c r="C28" s="41"/>
      <c r="D28" s="41">
        <f>SUM(D24:D27)</f>
        <v>500</v>
      </c>
      <c r="E28" s="53"/>
      <c r="F28" s="41">
        <f>SUM(F24:F27)</f>
        <v>500</v>
      </c>
      <c r="G28" s="41"/>
      <c r="H28" s="41">
        <f>SUM(H24:H27)</f>
        <v>500</v>
      </c>
      <c r="J28" s="2">
        <f>SUM(J24:J27)</f>
        <v>500</v>
      </c>
      <c r="K28" s="2"/>
      <c r="L28" s="2">
        <f>SUM(L24:L27)</f>
        <v>500</v>
      </c>
      <c r="M28" s="2"/>
      <c r="N28" s="2">
        <f>SUM(N24:N27)</f>
        <v>500</v>
      </c>
      <c r="O28" s="2"/>
      <c r="P28" s="2">
        <f>SUM(P24:P27)</f>
        <v>500</v>
      </c>
    </row>
    <row r="29" spans="1:16" outlineLevel="1" x14ac:dyDescent="0.2">
      <c r="A29" s="132" t="s">
        <v>30</v>
      </c>
      <c r="B29" s="36">
        <v>250</v>
      </c>
      <c r="C29" s="34"/>
      <c r="D29" s="36">
        <v>250</v>
      </c>
      <c r="E29" s="50"/>
      <c r="F29" s="36">
        <v>250</v>
      </c>
      <c r="G29" s="34"/>
      <c r="H29" s="36">
        <v>250</v>
      </c>
      <c r="J29" s="36">
        <v>250</v>
      </c>
      <c r="K29" s="34"/>
      <c r="L29" s="36">
        <v>250</v>
      </c>
      <c r="M29" s="34"/>
      <c r="N29" s="36">
        <v>250</v>
      </c>
      <c r="O29" s="34"/>
      <c r="P29" s="36">
        <v>250</v>
      </c>
    </row>
    <row r="30" spans="1:16" outlineLevel="1" x14ac:dyDescent="0.2">
      <c r="A30" s="132" t="s">
        <v>31</v>
      </c>
      <c r="B30" s="36">
        <v>100</v>
      </c>
      <c r="C30" s="34"/>
      <c r="D30" s="36">
        <v>100</v>
      </c>
      <c r="E30" s="50"/>
      <c r="F30" s="36">
        <v>100</v>
      </c>
      <c r="G30" s="34"/>
      <c r="H30" s="36">
        <v>100</v>
      </c>
      <c r="J30" s="36">
        <v>100</v>
      </c>
      <c r="K30" s="34"/>
      <c r="L30" s="36">
        <v>100</v>
      </c>
      <c r="M30" s="34"/>
      <c r="N30" s="36">
        <v>100</v>
      </c>
      <c r="O30" s="34"/>
      <c r="P30" s="36">
        <v>100</v>
      </c>
    </row>
    <row r="31" spans="1:16" outlineLevel="1" x14ac:dyDescent="0.2">
      <c r="A31" s="132" t="s">
        <v>32</v>
      </c>
      <c r="B31" s="36">
        <v>250</v>
      </c>
      <c r="C31" s="167"/>
      <c r="D31" s="36">
        <v>250</v>
      </c>
      <c r="E31" s="50"/>
      <c r="F31" s="36">
        <v>250</v>
      </c>
      <c r="G31" s="167"/>
      <c r="H31" s="36">
        <v>250</v>
      </c>
      <c r="J31" s="36">
        <v>250</v>
      </c>
      <c r="K31" s="34"/>
      <c r="L31" s="36">
        <v>250</v>
      </c>
      <c r="M31" s="34"/>
      <c r="N31" s="36">
        <v>250</v>
      </c>
      <c r="O31" s="167"/>
      <c r="P31" s="36">
        <v>250</v>
      </c>
    </row>
    <row r="32" spans="1:16" outlineLevel="1" x14ac:dyDescent="0.2">
      <c r="A32" s="132" t="s">
        <v>33</v>
      </c>
      <c r="B32" s="36">
        <v>250</v>
      </c>
      <c r="C32" s="167"/>
      <c r="D32" s="36">
        <v>250</v>
      </c>
      <c r="E32" s="50"/>
      <c r="F32" s="36">
        <v>250</v>
      </c>
      <c r="G32" s="167"/>
      <c r="H32" s="36">
        <v>250</v>
      </c>
      <c r="J32" s="36">
        <v>250</v>
      </c>
      <c r="K32" s="34"/>
      <c r="L32" s="36">
        <v>250</v>
      </c>
      <c r="M32" s="34"/>
      <c r="N32" s="36">
        <v>250</v>
      </c>
      <c r="O32" s="167"/>
      <c r="P32" s="36">
        <v>250</v>
      </c>
    </row>
    <row r="33" spans="1:16" outlineLevel="1" x14ac:dyDescent="0.2">
      <c r="A33" s="160" t="s">
        <v>34</v>
      </c>
      <c r="B33" s="126">
        <v>500</v>
      </c>
      <c r="C33" s="169"/>
      <c r="D33" s="126">
        <v>500</v>
      </c>
      <c r="E33" s="127"/>
      <c r="F33" s="126">
        <v>500</v>
      </c>
      <c r="G33" s="169"/>
      <c r="H33" s="126">
        <v>500</v>
      </c>
      <c r="J33" s="36">
        <v>500</v>
      </c>
      <c r="K33" s="34"/>
      <c r="L33" s="36">
        <v>500</v>
      </c>
      <c r="M33" s="34"/>
      <c r="N33" s="36">
        <v>500</v>
      </c>
      <c r="O33" s="167"/>
      <c r="P33" s="36">
        <v>500</v>
      </c>
    </row>
    <row r="34" spans="1:16" outlineLevel="1" x14ac:dyDescent="0.2">
      <c r="A34" s="157" t="s">
        <v>189</v>
      </c>
      <c r="B34" s="37"/>
      <c r="C34" s="168"/>
      <c r="D34" s="37"/>
      <c r="E34" s="51"/>
      <c r="F34" s="37"/>
      <c r="G34" s="168"/>
      <c r="H34" s="37"/>
      <c r="J34" s="37"/>
      <c r="K34" s="166"/>
      <c r="L34" s="37"/>
      <c r="M34" s="166"/>
      <c r="N34" s="37"/>
      <c r="O34" s="168"/>
      <c r="P34" s="37"/>
    </row>
    <row r="35" spans="1:16" x14ac:dyDescent="0.2">
      <c r="A35" s="132" t="s">
        <v>35</v>
      </c>
      <c r="B35" s="41">
        <f>SUM(B29:B34)</f>
        <v>1350</v>
      </c>
      <c r="D35" s="41">
        <f>SUM(D29:D34)</f>
        <v>1350</v>
      </c>
      <c r="E35" s="53"/>
      <c r="F35" s="41">
        <f>SUM(F29:F34)</f>
        <v>1350</v>
      </c>
      <c r="H35" s="41">
        <f>SUM(H29:H34)</f>
        <v>1350</v>
      </c>
      <c r="J35" s="2">
        <f>SUM(J29:J34)</f>
        <v>1350</v>
      </c>
      <c r="K35" s="2"/>
      <c r="L35" s="2">
        <f>SUM(L29:L34)</f>
        <v>1350</v>
      </c>
      <c r="M35" s="2"/>
      <c r="N35" s="2">
        <f>SUM(N29:N34)</f>
        <v>1350</v>
      </c>
      <c r="O35" s="10"/>
      <c r="P35" s="2">
        <f>SUM(P29:P34)</f>
        <v>1350</v>
      </c>
    </row>
    <row r="36" spans="1:16" hidden="1" outlineLevel="1" x14ac:dyDescent="0.2">
      <c r="A36" s="132" t="s">
        <v>36</v>
      </c>
      <c r="B36" s="36">
        <v>0</v>
      </c>
      <c r="C36" s="34"/>
      <c r="D36" s="36">
        <v>0</v>
      </c>
      <c r="E36" s="50"/>
      <c r="F36" s="36">
        <v>500</v>
      </c>
      <c r="G36" s="34"/>
      <c r="H36" s="36">
        <v>0</v>
      </c>
      <c r="J36" s="36">
        <v>0</v>
      </c>
      <c r="K36" s="34"/>
      <c r="L36" s="36">
        <v>0</v>
      </c>
      <c r="M36" s="34"/>
      <c r="N36" s="36">
        <v>500</v>
      </c>
      <c r="O36" s="34"/>
      <c r="P36" s="36">
        <v>0</v>
      </c>
    </row>
    <row r="37" spans="1:16" hidden="1" outlineLevel="1" x14ac:dyDescent="0.2">
      <c r="A37" s="157" t="s">
        <v>37</v>
      </c>
      <c r="B37" s="37">
        <v>0</v>
      </c>
      <c r="C37" s="166"/>
      <c r="D37" s="37">
        <v>0</v>
      </c>
      <c r="E37" s="51"/>
      <c r="F37" s="37">
        <v>0</v>
      </c>
      <c r="G37" s="166"/>
      <c r="H37" s="37">
        <v>0</v>
      </c>
      <c r="J37" s="37">
        <v>0</v>
      </c>
      <c r="K37" s="166"/>
      <c r="L37" s="37">
        <v>0</v>
      </c>
      <c r="M37" s="166"/>
      <c r="N37" s="37">
        <v>0</v>
      </c>
      <c r="O37" s="166"/>
      <c r="P37" s="37">
        <v>0</v>
      </c>
    </row>
    <row r="38" spans="1:16" collapsed="1" x14ac:dyDescent="0.2">
      <c r="A38" s="132" t="s">
        <v>38</v>
      </c>
      <c r="B38" s="41">
        <f>SUM(B36:B37)</f>
        <v>0</v>
      </c>
      <c r="C38" s="41"/>
      <c r="D38" s="41">
        <f>SUM(D36:D37)</f>
        <v>0</v>
      </c>
      <c r="E38" s="53"/>
      <c r="F38" s="41">
        <f>SUM(F36:F37)</f>
        <v>500</v>
      </c>
      <c r="G38" s="41"/>
      <c r="H38" s="41">
        <f>SUM(H36:H37)</f>
        <v>0</v>
      </c>
      <c r="J38" s="2">
        <f>SUM(J36:J37)</f>
        <v>0</v>
      </c>
      <c r="K38" s="2"/>
      <c r="L38" s="2">
        <f>SUM(L36:L37)</f>
        <v>0</v>
      </c>
      <c r="M38" s="2"/>
      <c r="N38" s="2">
        <f>SUM(N36:N37)</f>
        <v>500</v>
      </c>
      <c r="O38" s="2"/>
      <c r="P38" s="2">
        <f>SUM(P36:P37)</f>
        <v>0</v>
      </c>
    </row>
    <row r="39" spans="1:16" outlineLevel="1" x14ac:dyDescent="0.2">
      <c r="A39" s="132" t="s">
        <v>39</v>
      </c>
      <c r="B39" s="36">
        <v>50</v>
      </c>
      <c r="C39" s="34"/>
      <c r="D39" s="36">
        <v>50</v>
      </c>
      <c r="E39" s="50"/>
      <c r="F39" s="36">
        <v>50</v>
      </c>
      <c r="G39" s="34"/>
      <c r="H39" s="36">
        <v>50</v>
      </c>
      <c r="J39" s="36">
        <v>50</v>
      </c>
      <c r="K39" s="34"/>
      <c r="L39" s="36">
        <v>50</v>
      </c>
      <c r="M39" s="34"/>
      <c r="N39" s="36">
        <v>50</v>
      </c>
      <c r="O39" s="34"/>
      <c r="P39" s="36">
        <v>50</v>
      </c>
    </row>
    <row r="40" spans="1:16" outlineLevel="1" x14ac:dyDescent="0.2">
      <c r="A40" s="157" t="s">
        <v>40</v>
      </c>
      <c r="B40" s="37">
        <v>250</v>
      </c>
      <c r="C40" s="166"/>
      <c r="D40" s="37">
        <v>250</v>
      </c>
      <c r="E40" s="51"/>
      <c r="F40" s="37">
        <v>250</v>
      </c>
      <c r="G40" s="166"/>
      <c r="H40" s="37">
        <v>250</v>
      </c>
      <c r="J40" s="37">
        <v>250</v>
      </c>
      <c r="K40" s="166"/>
      <c r="L40" s="37">
        <v>250</v>
      </c>
      <c r="M40" s="166"/>
      <c r="N40" s="37">
        <v>250</v>
      </c>
      <c r="O40" s="166"/>
      <c r="P40" s="37">
        <v>250</v>
      </c>
    </row>
    <row r="41" spans="1:16" x14ac:dyDescent="0.2">
      <c r="A41" s="132" t="s">
        <v>41</v>
      </c>
      <c r="B41" s="41">
        <f>SUM(B39:B40)</f>
        <v>300</v>
      </c>
      <c r="C41" s="41"/>
      <c r="D41" s="41">
        <f>SUM(D39:D40)</f>
        <v>300</v>
      </c>
      <c r="E41" s="53"/>
      <c r="F41" s="41">
        <f>SUM(F39:F40)</f>
        <v>300</v>
      </c>
      <c r="G41" s="41"/>
      <c r="H41" s="41">
        <f>SUM(H39:H40)</f>
        <v>300</v>
      </c>
      <c r="J41" s="2">
        <f>SUM(J39:J40)</f>
        <v>300</v>
      </c>
      <c r="K41" s="2"/>
      <c r="L41" s="2">
        <f>SUM(L39:L40)</f>
        <v>300</v>
      </c>
      <c r="M41" s="2"/>
      <c r="N41" s="2">
        <f>SUM(N39:N40)</f>
        <v>300</v>
      </c>
      <c r="O41" s="2"/>
      <c r="P41" s="2">
        <f>SUM(P39:P40)</f>
        <v>300</v>
      </c>
    </row>
    <row r="42" spans="1:16" outlineLevel="1" x14ac:dyDescent="0.2">
      <c r="A42" s="132" t="s">
        <v>94</v>
      </c>
      <c r="B42" s="36">
        <v>0</v>
      </c>
      <c r="C42" s="167"/>
      <c r="D42" s="36">
        <v>250</v>
      </c>
      <c r="E42" s="50"/>
      <c r="F42" s="36">
        <v>0</v>
      </c>
      <c r="G42" s="167"/>
      <c r="H42" s="36">
        <v>0</v>
      </c>
      <c r="J42" s="36">
        <v>250</v>
      </c>
      <c r="K42" s="34"/>
      <c r="L42" s="36">
        <v>250</v>
      </c>
      <c r="M42" s="34"/>
      <c r="N42" s="36">
        <v>0</v>
      </c>
      <c r="O42" s="167"/>
      <c r="P42" s="36">
        <v>0</v>
      </c>
    </row>
    <row r="43" spans="1:16" outlineLevel="1" x14ac:dyDescent="0.2">
      <c r="A43" s="132" t="s">
        <v>95</v>
      </c>
      <c r="B43" s="36">
        <v>0</v>
      </c>
      <c r="C43" s="167"/>
      <c r="D43" s="36">
        <v>100</v>
      </c>
      <c r="E43" s="50"/>
      <c r="F43" s="36">
        <v>0</v>
      </c>
      <c r="G43" s="167"/>
      <c r="H43" s="36">
        <v>0</v>
      </c>
      <c r="J43" s="36">
        <v>100</v>
      </c>
      <c r="K43" s="34"/>
      <c r="L43" s="36">
        <v>100</v>
      </c>
      <c r="M43" s="34"/>
      <c r="N43" s="36">
        <v>0</v>
      </c>
      <c r="O43" s="167"/>
      <c r="P43" s="36">
        <v>0</v>
      </c>
    </row>
    <row r="44" spans="1:16" outlineLevel="1" x14ac:dyDescent="0.2">
      <c r="A44" s="132" t="s">
        <v>96</v>
      </c>
      <c r="B44" s="36">
        <v>0</v>
      </c>
      <c r="C44" s="167"/>
      <c r="D44" s="36">
        <v>300</v>
      </c>
      <c r="E44" s="50"/>
      <c r="F44" s="36">
        <v>0</v>
      </c>
      <c r="G44" s="167"/>
      <c r="H44" s="36">
        <v>0</v>
      </c>
      <c r="J44" s="36">
        <v>300</v>
      </c>
      <c r="K44" s="34"/>
      <c r="L44" s="36">
        <v>300</v>
      </c>
      <c r="M44" s="34"/>
      <c r="N44" s="36">
        <v>0</v>
      </c>
      <c r="O44" s="167"/>
      <c r="P44" s="36">
        <v>0</v>
      </c>
    </row>
    <row r="45" spans="1:16" outlineLevel="1" x14ac:dyDescent="0.2">
      <c r="A45" s="132" t="s">
        <v>42</v>
      </c>
      <c r="B45" s="36">
        <v>50</v>
      </c>
      <c r="C45" s="167"/>
      <c r="D45" s="36">
        <v>50</v>
      </c>
      <c r="E45" s="50"/>
      <c r="F45" s="36">
        <v>50</v>
      </c>
      <c r="G45" s="167"/>
      <c r="H45" s="36">
        <v>50</v>
      </c>
      <c r="J45" s="36">
        <v>50</v>
      </c>
      <c r="K45" s="34"/>
      <c r="L45" s="36">
        <v>50</v>
      </c>
      <c r="M45" s="34"/>
      <c r="N45" s="36">
        <v>50</v>
      </c>
      <c r="O45" s="167"/>
      <c r="P45" s="36">
        <v>50</v>
      </c>
    </row>
    <row r="46" spans="1:16" outlineLevel="1" x14ac:dyDescent="0.2">
      <c r="A46" s="161" t="s">
        <v>43</v>
      </c>
      <c r="B46" s="41"/>
      <c r="D46" s="41"/>
      <c r="E46" s="53"/>
      <c r="F46" s="41"/>
      <c r="H46" s="41"/>
      <c r="J46" s="2"/>
      <c r="K46" s="2"/>
      <c r="L46" s="2"/>
      <c r="M46" s="2"/>
      <c r="N46" s="2"/>
      <c r="O46" s="10"/>
      <c r="P46" s="2"/>
    </row>
    <row r="47" spans="1:16" outlineLevel="1" x14ac:dyDescent="0.2">
      <c r="A47" s="132" t="s">
        <v>44</v>
      </c>
      <c r="B47" s="36">
        <v>100</v>
      </c>
      <c r="C47" s="167"/>
      <c r="D47" s="36">
        <v>100</v>
      </c>
      <c r="E47" s="50"/>
      <c r="F47" s="36">
        <v>100</v>
      </c>
      <c r="G47" s="167"/>
      <c r="H47" s="36">
        <v>100</v>
      </c>
      <c r="J47" s="36">
        <v>100</v>
      </c>
      <c r="K47" s="34"/>
      <c r="L47" s="36">
        <v>100</v>
      </c>
      <c r="M47" s="34"/>
      <c r="N47" s="36">
        <v>100</v>
      </c>
      <c r="O47" s="167"/>
      <c r="P47" s="36">
        <v>100</v>
      </c>
    </row>
    <row r="48" spans="1:16" outlineLevel="1" x14ac:dyDescent="0.2">
      <c r="A48" s="132" t="s">
        <v>45</v>
      </c>
      <c r="B48" s="36">
        <v>50</v>
      </c>
      <c r="C48" s="167"/>
      <c r="D48" s="36">
        <v>50</v>
      </c>
      <c r="E48" s="50"/>
      <c r="F48" s="36">
        <v>50</v>
      </c>
      <c r="G48" s="167"/>
      <c r="H48" s="36">
        <v>50</v>
      </c>
      <c r="J48" s="36">
        <v>50</v>
      </c>
      <c r="K48" s="34"/>
      <c r="L48" s="36">
        <v>50</v>
      </c>
      <c r="M48" s="34"/>
      <c r="N48" s="36">
        <v>50</v>
      </c>
      <c r="O48" s="167"/>
      <c r="P48" s="36">
        <v>50</v>
      </c>
    </row>
    <row r="49" spans="1:16" outlineLevel="1" x14ac:dyDescent="0.2">
      <c r="A49" s="132" t="s">
        <v>46</v>
      </c>
      <c r="B49" s="36">
        <v>250</v>
      </c>
      <c r="C49" s="167"/>
      <c r="D49" s="36">
        <f>250+150</f>
        <v>400</v>
      </c>
      <c r="E49" s="50"/>
      <c r="F49" s="36">
        <v>250</v>
      </c>
      <c r="G49" s="167"/>
      <c r="H49" s="36">
        <v>250</v>
      </c>
      <c r="J49" s="36">
        <f>250+150</f>
        <v>400</v>
      </c>
      <c r="K49" s="34"/>
      <c r="L49" s="36">
        <f>250+150</f>
        <v>400</v>
      </c>
      <c r="M49" s="34"/>
      <c r="N49" s="36">
        <v>250</v>
      </c>
      <c r="O49" s="167"/>
      <c r="P49" s="36">
        <v>250</v>
      </c>
    </row>
    <row r="50" spans="1:16" outlineLevel="1" x14ac:dyDescent="0.2">
      <c r="A50" s="132" t="s">
        <v>97</v>
      </c>
      <c r="B50" s="36"/>
      <c r="C50" s="167"/>
      <c r="D50" s="36">
        <v>2500</v>
      </c>
      <c r="E50" s="50"/>
      <c r="F50" s="36"/>
      <c r="G50" s="167"/>
      <c r="H50" s="36"/>
      <c r="J50" s="36">
        <v>2500</v>
      </c>
      <c r="K50" s="34"/>
      <c r="L50" s="36">
        <v>2500</v>
      </c>
      <c r="M50" s="34"/>
      <c r="N50" s="36"/>
      <c r="O50" s="167"/>
      <c r="P50" s="36"/>
    </row>
    <row r="51" spans="1:16" outlineLevel="1" x14ac:dyDescent="0.2">
      <c r="A51" s="132" t="s">
        <v>47</v>
      </c>
      <c r="B51" s="36">
        <v>0</v>
      </c>
      <c r="C51" s="167"/>
      <c r="D51" s="36">
        <v>0</v>
      </c>
      <c r="E51" s="50"/>
      <c r="F51" s="36">
        <v>500</v>
      </c>
      <c r="G51" s="167"/>
      <c r="H51" s="36">
        <v>0</v>
      </c>
      <c r="J51" s="36">
        <v>0</v>
      </c>
      <c r="K51" s="34"/>
      <c r="L51" s="36">
        <v>0</v>
      </c>
      <c r="M51" s="34"/>
      <c r="N51" s="36">
        <v>500</v>
      </c>
      <c r="O51" s="167"/>
      <c r="P51" s="36">
        <v>0</v>
      </c>
    </row>
    <row r="52" spans="1:16" outlineLevel="1" x14ac:dyDescent="0.2">
      <c r="A52" s="140" t="s">
        <v>194</v>
      </c>
      <c r="B52" s="36">
        <v>50</v>
      </c>
      <c r="C52" s="167"/>
      <c r="D52" s="36"/>
      <c r="E52" s="50"/>
      <c r="F52" s="36"/>
      <c r="G52" s="167"/>
      <c r="H52" s="36"/>
      <c r="J52" s="36"/>
      <c r="K52" s="34"/>
      <c r="L52" s="36"/>
      <c r="M52" s="34"/>
      <c r="N52" s="36"/>
      <c r="O52" s="167"/>
      <c r="P52" s="36"/>
    </row>
    <row r="53" spans="1:16" outlineLevel="1" x14ac:dyDescent="0.2">
      <c r="A53" s="140" t="s">
        <v>33</v>
      </c>
      <c r="B53" s="36"/>
      <c r="C53" s="167"/>
      <c r="D53" s="36">
        <v>80</v>
      </c>
      <c r="E53" s="50"/>
      <c r="F53" s="36"/>
      <c r="G53" s="167"/>
      <c r="H53" s="36"/>
      <c r="J53" s="36">
        <v>80</v>
      </c>
      <c r="K53" s="34"/>
      <c r="L53" s="36">
        <v>80</v>
      </c>
      <c r="M53" s="34"/>
      <c r="N53" s="36"/>
      <c r="O53" s="167"/>
      <c r="P53" s="36"/>
    </row>
    <row r="54" spans="1:16" outlineLevel="1" x14ac:dyDescent="0.2">
      <c r="A54" s="140" t="s">
        <v>195</v>
      </c>
      <c r="B54" s="36"/>
      <c r="C54" s="167"/>
      <c r="D54" s="36"/>
      <c r="E54" s="50"/>
      <c r="F54" s="36"/>
      <c r="G54" s="167"/>
      <c r="H54" s="36"/>
      <c r="J54" s="36"/>
      <c r="K54" s="34"/>
      <c r="L54" s="36"/>
      <c r="M54" s="34"/>
      <c r="N54" s="36"/>
      <c r="O54" s="167"/>
      <c r="P54" s="36"/>
    </row>
    <row r="55" spans="1:16" outlineLevel="1" x14ac:dyDescent="0.2">
      <c r="A55" s="140" t="s">
        <v>196</v>
      </c>
      <c r="B55" s="36"/>
      <c r="C55" s="167"/>
      <c r="D55" s="36"/>
      <c r="E55" s="50"/>
      <c r="F55" s="36">
        <v>250</v>
      </c>
      <c r="G55" s="167"/>
      <c r="H55" s="36">
        <v>250</v>
      </c>
      <c r="J55" s="36"/>
      <c r="K55" s="34"/>
      <c r="L55" s="36"/>
      <c r="M55" s="34"/>
      <c r="N55" s="36">
        <v>250</v>
      </c>
      <c r="O55" s="167"/>
      <c r="P55" s="36">
        <v>250</v>
      </c>
    </row>
    <row r="56" spans="1:16" outlineLevel="1" x14ac:dyDescent="0.2">
      <c r="A56" s="132" t="s">
        <v>48</v>
      </c>
      <c r="B56" s="36">
        <v>0</v>
      </c>
      <c r="C56" s="167"/>
      <c r="D56" s="36">
        <v>0</v>
      </c>
      <c r="E56" s="50"/>
      <c r="F56" s="36">
        <v>18</v>
      </c>
      <c r="G56" s="167"/>
      <c r="H56" s="36">
        <v>0</v>
      </c>
      <c r="J56" s="36">
        <v>0</v>
      </c>
      <c r="K56" s="34"/>
      <c r="L56" s="36">
        <v>0</v>
      </c>
      <c r="M56" s="34"/>
      <c r="N56" s="36">
        <v>18</v>
      </c>
      <c r="O56" s="167"/>
      <c r="P56" s="36">
        <v>0</v>
      </c>
    </row>
    <row r="57" spans="1:16" outlineLevel="1" x14ac:dyDescent="0.2">
      <c r="A57" s="132" t="s">
        <v>198</v>
      </c>
      <c r="B57" s="36">
        <v>15</v>
      </c>
      <c r="C57" s="167"/>
      <c r="D57" s="36">
        <v>15</v>
      </c>
      <c r="E57" s="50"/>
      <c r="F57" s="36">
        <v>15</v>
      </c>
      <c r="G57" s="167"/>
      <c r="H57" s="36">
        <v>15</v>
      </c>
      <c r="J57" s="36">
        <v>15</v>
      </c>
      <c r="K57" s="34"/>
      <c r="L57" s="36">
        <v>15</v>
      </c>
      <c r="M57" s="34"/>
      <c r="N57" s="36">
        <v>15</v>
      </c>
      <c r="O57" s="167"/>
      <c r="P57" s="36">
        <v>15</v>
      </c>
    </row>
    <row r="58" spans="1:16" outlineLevel="1" x14ac:dyDescent="0.2">
      <c r="A58" s="160" t="s">
        <v>197</v>
      </c>
      <c r="B58" s="36"/>
      <c r="C58" s="167"/>
      <c r="D58" s="36"/>
      <c r="E58" s="50"/>
      <c r="F58" s="36"/>
      <c r="G58" s="167"/>
      <c r="H58" s="36"/>
      <c r="J58" s="36"/>
      <c r="K58" s="34"/>
      <c r="L58" s="36"/>
      <c r="M58" s="34"/>
      <c r="N58" s="36"/>
      <c r="O58" s="167"/>
      <c r="P58" s="36"/>
    </row>
    <row r="59" spans="1:16" ht="16.5" outlineLevel="1" x14ac:dyDescent="0.25">
      <c r="A59" s="162" t="s">
        <v>203</v>
      </c>
      <c r="B59" s="36"/>
      <c r="C59" s="167"/>
      <c r="D59" s="36">
        <v>300</v>
      </c>
      <c r="E59" s="50"/>
      <c r="F59" s="36"/>
      <c r="G59" s="167"/>
      <c r="H59" s="36"/>
      <c r="J59" s="36">
        <v>300</v>
      </c>
      <c r="K59" s="34"/>
      <c r="L59" s="36">
        <v>300</v>
      </c>
      <c r="M59" s="34"/>
      <c r="N59" s="36"/>
      <c r="O59" s="167"/>
      <c r="P59" s="36"/>
    </row>
    <row r="60" spans="1:16" ht="16.5" outlineLevel="1" x14ac:dyDescent="0.25">
      <c r="A60" s="162" t="s">
        <v>204</v>
      </c>
      <c r="B60" s="36"/>
      <c r="C60" s="167"/>
      <c r="D60" s="36"/>
      <c r="E60" s="50"/>
      <c r="F60" s="36"/>
      <c r="G60" s="167"/>
      <c r="H60" s="36"/>
      <c r="J60" s="36"/>
      <c r="K60" s="34"/>
      <c r="L60" s="36"/>
      <c r="M60" s="34"/>
      <c r="N60" s="36"/>
      <c r="O60" s="167"/>
      <c r="P60" s="36"/>
    </row>
    <row r="61" spans="1:16" ht="16.5" outlineLevel="1" x14ac:dyDescent="0.25">
      <c r="A61" s="162" t="s">
        <v>205</v>
      </c>
      <c r="B61" s="36"/>
      <c r="C61" s="167"/>
      <c r="D61" s="36"/>
      <c r="E61" s="50"/>
      <c r="F61" s="36"/>
      <c r="G61" s="167"/>
      <c r="H61" s="36"/>
      <c r="J61" s="36"/>
      <c r="K61" s="34"/>
      <c r="L61" s="36"/>
      <c r="M61" s="34"/>
      <c r="N61" s="36"/>
      <c r="O61" s="167"/>
      <c r="P61" s="36"/>
    </row>
    <row r="62" spans="1:16" outlineLevel="1" x14ac:dyDescent="0.2">
      <c r="A62" s="157" t="s">
        <v>199</v>
      </c>
      <c r="B62" s="37">
        <v>0</v>
      </c>
      <c r="C62" s="168"/>
      <c r="D62" s="37">
        <v>0</v>
      </c>
      <c r="E62" s="51"/>
      <c r="F62" s="37"/>
      <c r="G62" s="168"/>
      <c r="H62" s="37">
        <v>0</v>
      </c>
      <c r="J62" s="37">
        <v>0</v>
      </c>
      <c r="K62" s="166"/>
      <c r="L62" s="37">
        <v>0</v>
      </c>
      <c r="M62" s="166"/>
      <c r="N62" s="37"/>
      <c r="O62" s="168"/>
      <c r="P62" s="37">
        <v>0</v>
      </c>
    </row>
    <row r="63" spans="1:16" x14ac:dyDescent="0.2">
      <c r="A63" s="132" t="s">
        <v>50</v>
      </c>
      <c r="B63" s="41">
        <f>SUM(B42:B62)</f>
        <v>515</v>
      </c>
      <c r="D63" s="41">
        <f>SUM(D42:D62)</f>
        <v>4145</v>
      </c>
      <c r="E63" s="53"/>
      <c r="F63" s="41">
        <f>SUM(F42:F62)</f>
        <v>1233</v>
      </c>
      <c r="H63" s="41">
        <f>SUM(H42:H62)</f>
        <v>715</v>
      </c>
      <c r="J63" s="2">
        <f>SUM(J42:J62)</f>
        <v>4145</v>
      </c>
      <c r="K63" s="2"/>
      <c r="L63" s="2">
        <f>SUM(L42:L62)</f>
        <v>4145</v>
      </c>
      <c r="M63" s="2"/>
      <c r="N63" s="2">
        <f>SUM(N42:N62)</f>
        <v>1233</v>
      </c>
      <c r="O63" s="10"/>
      <c r="P63" s="2">
        <f>SUM(P42:P62)</f>
        <v>715</v>
      </c>
    </row>
    <row r="64" spans="1:16" x14ac:dyDescent="0.2">
      <c r="A64" s="157" t="s">
        <v>202</v>
      </c>
      <c r="B64" s="37">
        <v>1500</v>
      </c>
      <c r="C64" s="168"/>
      <c r="D64" s="37"/>
      <c r="E64" s="51"/>
      <c r="F64" s="37"/>
      <c r="G64" s="168"/>
      <c r="H64" s="37">
        <v>0</v>
      </c>
      <c r="J64" s="37"/>
      <c r="K64" s="166"/>
      <c r="L64" s="37"/>
      <c r="M64" s="166"/>
      <c r="N64" s="37"/>
      <c r="O64" s="168"/>
      <c r="P64" s="37">
        <v>0</v>
      </c>
    </row>
    <row r="65" spans="1:16" ht="15.75" x14ac:dyDescent="0.25">
      <c r="A65" s="160" t="s">
        <v>257</v>
      </c>
      <c r="B65" s="126"/>
      <c r="C65" s="173"/>
      <c r="D65" s="126">
        <f>B65</f>
        <v>0</v>
      </c>
      <c r="E65" s="127"/>
      <c r="F65" s="126">
        <f>D65</f>
        <v>0</v>
      </c>
      <c r="G65" s="173"/>
      <c r="H65" s="126">
        <f>F65</f>
        <v>0</v>
      </c>
      <c r="J65" s="126">
        <f>H65</f>
        <v>0</v>
      </c>
      <c r="K65" s="173"/>
      <c r="L65" s="126">
        <f>J65</f>
        <v>0</v>
      </c>
      <c r="M65" s="173"/>
      <c r="N65" s="126">
        <f>L65</f>
        <v>0</v>
      </c>
      <c r="O65" s="173"/>
      <c r="P65" s="126">
        <f>N65</f>
        <v>0</v>
      </c>
    </row>
    <row r="66" spans="1:16" x14ac:dyDescent="0.2">
      <c r="A66" s="160" t="s">
        <v>213</v>
      </c>
      <c r="B66" s="127">
        <f>B65*0.5</f>
        <v>0</v>
      </c>
      <c r="C66" s="127"/>
      <c r="D66" s="127">
        <f t="shared" ref="D66:P66" si="0">D65*0.5</f>
        <v>0</v>
      </c>
      <c r="E66" s="127">
        <f t="shared" si="0"/>
        <v>0</v>
      </c>
      <c r="F66" s="127">
        <f t="shared" si="0"/>
        <v>0</v>
      </c>
      <c r="G66" s="127">
        <f t="shared" si="0"/>
        <v>0</v>
      </c>
      <c r="H66" s="127">
        <f t="shared" si="0"/>
        <v>0</v>
      </c>
      <c r="I66" s="127"/>
      <c r="J66" s="127">
        <f t="shared" si="0"/>
        <v>0</v>
      </c>
      <c r="K66" s="127">
        <f t="shared" si="0"/>
        <v>0</v>
      </c>
      <c r="L66" s="127">
        <f t="shared" si="0"/>
        <v>0</v>
      </c>
      <c r="M66" s="127">
        <f t="shared" si="0"/>
        <v>0</v>
      </c>
      <c r="N66" s="127">
        <f t="shared" si="0"/>
        <v>0</v>
      </c>
      <c r="O66" s="127"/>
      <c r="P66" s="127">
        <f t="shared" si="0"/>
        <v>0</v>
      </c>
    </row>
    <row r="67" spans="1:16" x14ac:dyDescent="0.2">
      <c r="A67" s="132" t="s">
        <v>250</v>
      </c>
      <c r="B67" s="41">
        <f>SUM(B64,B63,B41,B38,B35,B28,B23,B20,B17,B14,B66)</f>
        <v>6815</v>
      </c>
      <c r="C67" s="41"/>
      <c r="D67" s="41">
        <f t="shared" ref="D67:P67" si="1">SUM(D64,D63,D41,D38,D35,D28,D23,D20,D17,D14,D66)</f>
        <v>8945</v>
      </c>
      <c r="E67" s="41"/>
      <c r="F67" s="41">
        <f t="shared" si="1"/>
        <v>6533</v>
      </c>
      <c r="G67" s="41">
        <f t="shared" si="1"/>
        <v>0</v>
      </c>
      <c r="H67" s="41">
        <f t="shared" si="1"/>
        <v>5515</v>
      </c>
      <c r="I67" s="41"/>
      <c r="J67" s="41">
        <f t="shared" si="1"/>
        <v>8945</v>
      </c>
      <c r="K67" s="41">
        <f t="shared" si="1"/>
        <v>0</v>
      </c>
      <c r="L67" s="41">
        <f t="shared" si="1"/>
        <v>8945</v>
      </c>
      <c r="M67" s="41">
        <f t="shared" si="1"/>
        <v>0</v>
      </c>
      <c r="N67" s="41">
        <f t="shared" si="1"/>
        <v>6533</v>
      </c>
      <c r="O67" s="41"/>
      <c r="P67" s="41">
        <f t="shared" si="1"/>
        <v>5515</v>
      </c>
    </row>
    <row r="68" spans="1:16" x14ac:dyDescent="0.2">
      <c r="A68" s="132" t="s">
        <v>251</v>
      </c>
      <c r="B68" s="36">
        <v>0</v>
      </c>
      <c r="C68" s="167"/>
      <c r="D68" s="36">
        <v>0</v>
      </c>
      <c r="E68" s="50"/>
      <c r="F68" s="36">
        <v>0</v>
      </c>
      <c r="G68" s="167"/>
      <c r="H68" s="36">
        <v>0</v>
      </c>
      <c r="J68" s="36">
        <v>0</v>
      </c>
      <c r="K68" s="34"/>
      <c r="L68" s="36">
        <v>0</v>
      </c>
      <c r="M68" s="34"/>
      <c r="N68" s="36">
        <v>0</v>
      </c>
      <c r="O68" s="167"/>
      <c r="P68" s="36">
        <v>0</v>
      </c>
    </row>
    <row r="69" spans="1:16" x14ac:dyDescent="0.2">
      <c r="A69" s="132" t="s">
        <v>252</v>
      </c>
      <c r="B69" s="41">
        <f>IF(AND(B89="ja", $H$87&gt;0),(ROUND((B67+B74)*0.2,2)),0)</f>
        <v>1363</v>
      </c>
      <c r="C69" s="41"/>
      <c r="D69" s="41">
        <f>IF(AND(D89="ja", $H$87&gt;0),(ROUND((D67+D74)*0.2,2)),0)</f>
        <v>7789</v>
      </c>
      <c r="E69" s="41">
        <f>IF(AND(E89="ja", $H$87&gt;0),(ROUND((E67+E74)*0.2,2)),0)</f>
        <v>0</v>
      </c>
      <c r="F69" s="41">
        <f>IF(AND(F89="ja", $H$87&gt;0),(ROUND((F67+F74)*0.2,2)),0)</f>
        <v>15106.6</v>
      </c>
      <c r="G69" s="41">
        <f>IF(AND(G89="ja", $H$87&gt;0),(ROUND((G67+G74)*0.2,2)),0)</f>
        <v>0</v>
      </c>
      <c r="H69" s="41">
        <f>IF(AND(H89="ja", $H$87&gt;0),(ROUND((H67+H74)*0.2,2)),0)</f>
        <v>1103</v>
      </c>
      <c r="I69" s="41"/>
      <c r="J69" s="41">
        <f>IF(AND(J89="ja", $H$87&gt;0),(ROUND((J67+J74)*0.2,2)),0)</f>
        <v>1789</v>
      </c>
      <c r="K69" s="41">
        <f>IF(AND(K89="ja", $H$87&gt;0),(ROUND((K67+K74)*0.2,2)),0)</f>
        <v>0</v>
      </c>
      <c r="L69" s="41">
        <f>IF(AND(L89="ja", $H$87&gt;0),(ROUND((L67+L74)*0.2,2)),0)</f>
        <v>1789</v>
      </c>
      <c r="M69" s="41">
        <f>IF(AND(M89="ja", $H$87&gt;0),(ROUND((M67+M74)*0.2,2)),0)</f>
        <v>0</v>
      </c>
      <c r="N69" s="41">
        <f>IF(AND(N89="ja", $H$87&gt;0),(ROUND((N67+N74)*0.2,2)),0)</f>
        <v>1306.5999999999999</v>
      </c>
      <c r="O69" s="41"/>
      <c r="P69" s="41">
        <f>IF(AND(P89="ja", $H$87&gt;0),(ROUND((P67+P74)*0.2,2)),0)</f>
        <v>1103</v>
      </c>
    </row>
    <row r="70" spans="1:16" x14ac:dyDescent="0.2">
      <c r="A70" s="157" t="s">
        <v>253</v>
      </c>
      <c r="B70" s="37">
        <v>0</v>
      </c>
      <c r="C70" s="166"/>
      <c r="D70" s="37">
        <v>0</v>
      </c>
      <c r="E70" s="51"/>
      <c r="F70" s="37"/>
      <c r="G70" s="166"/>
      <c r="H70" s="37">
        <v>0</v>
      </c>
      <c r="J70" s="37">
        <v>0</v>
      </c>
      <c r="K70" s="166"/>
      <c r="L70" s="37">
        <v>0</v>
      </c>
      <c r="M70" s="166"/>
      <c r="N70" s="37"/>
      <c r="O70" s="166"/>
      <c r="P70" s="37">
        <v>0</v>
      </c>
    </row>
    <row r="71" spans="1:16" x14ac:dyDescent="0.2">
      <c r="A71" s="160" t="s">
        <v>248</v>
      </c>
      <c r="B71" s="126"/>
      <c r="C71" s="173"/>
      <c r="D71" s="126"/>
      <c r="E71" s="127"/>
      <c r="F71" s="126"/>
      <c r="G71" s="173"/>
      <c r="H71" s="126"/>
      <c r="J71" s="126"/>
      <c r="K71" s="173"/>
      <c r="L71" s="126"/>
      <c r="M71" s="173"/>
      <c r="N71" s="126"/>
      <c r="O71" s="173"/>
      <c r="P71" s="126"/>
    </row>
    <row r="72" spans="1:16" x14ac:dyDescent="0.2">
      <c r="A72" s="160" t="s">
        <v>249</v>
      </c>
      <c r="B72" s="126"/>
      <c r="C72" s="173"/>
      <c r="D72" s="126"/>
      <c r="E72" s="127"/>
      <c r="F72" s="126"/>
      <c r="G72" s="173"/>
      <c r="H72" s="126"/>
      <c r="J72" s="126"/>
      <c r="K72" s="173"/>
      <c r="L72" s="126"/>
      <c r="M72" s="173"/>
      <c r="N72" s="126"/>
      <c r="O72" s="173"/>
      <c r="P72" s="126"/>
    </row>
    <row r="73" spans="1:16" x14ac:dyDescent="0.2">
      <c r="A73" s="160" t="s">
        <v>214</v>
      </c>
      <c r="B73" s="126"/>
      <c r="C73" s="173"/>
      <c r="D73" s="126"/>
      <c r="E73" s="127"/>
      <c r="F73" s="126"/>
      <c r="G73" s="173"/>
      <c r="H73" s="126"/>
      <c r="J73" s="126"/>
      <c r="K73" s="173"/>
      <c r="L73" s="126"/>
      <c r="M73" s="173"/>
      <c r="N73" s="126"/>
      <c r="O73" s="173"/>
      <c r="P73" s="126"/>
    </row>
    <row r="74" spans="1:16" x14ac:dyDescent="0.2">
      <c r="A74" s="160" t="s">
        <v>254</v>
      </c>
      <c r="B74" s="126"/>
      <c r="C74" s="173"/>
      <c r="D74" s="126">
        <v>30000</v>
      </c>
      <c r="E74" s="127"/>
      <c r="F74" s="126">
        <f>'Ermittlung Teilwert-AfA Handel'!F13</f>
        <v>69000</v>
      </c>
      <c r="G74" s="173"/>
      <c r="H74" s="126"/>
      <c r="J74" s="126"/>
      <c r="K74" s="173"/>
      <c r="L74" s="126"/>
      <c r="M74" s="173"/>
      <c r="N74" s="126"/>
      <c r="O74" s="173"/>
      <c r="P74" s="126"/>
    </row>
    <row r="75" spans="1:16" s="136" customFormat="1" ht="15.75" x14ac:dyDescent="0.25">
      <c r="A75" s="136" t="s">
        <v>54</v>
      </c>
      <c r="B75" s="175">
        <f>SUM(B67:B70)+B66+B71+B72+B73+B74</f>
        <v>8178</v>
      </c>
      <c r="C75" s="175"/>
      <c r="D75" s="175">
        <f t="shared" ref="D75:P75" si="2">SUM(D67:D70)+D66+D71+D72+D73+D74</f>
        <v>46734</v>
      </c>
      <c r="E75" s="175">
        <f t="shared" si="2"/>
        <v>0</v>
      </c>
      <c r="F75" s="175">
        <f t="shared" si="2"/>
        <v>90639.6</v>
      </c>
      <c r="G75" s="175">
        <f t="shared" si="2"/>
        <v>0</v>
      </c>
      <c r="H75" s="175">
        <f t="shared" si="2"/>
        <v>6618</v>
      </c>
      <c r="I75" s="175"/>
      <c r="J75" s="175">
        <f t="shared" si="2"/>
        <v>10734</v>
      </c>
      <c r="K75" s="175">
        <f t="shared" si="2"/>
        <v>0</v>
      </c>
      <c r="L75" s="175">
        <f t="shared" si="2"/>
        <v>10734</v>
      </c>
      <c r="M75" s="175">
        <f t="shared" si="2"/>
        <v>0</v>
      </c>
      <c r="N75" s="175">
        <f t="shared" si="2"/>
        <v>7839.6</v>
      </c>
      <c r="O75" s="175">
        <f t="shared" si="2"/>
        <v>0</v>
      </c>
      <c r="P75" s="175">
        <f t="shared" si="2"/>
        <v>6618</v>
      </c>
    </row>
    <row r="76" spans="1:16" x14ac:dyDescent="0.2">
      <c r="B76" s="41"/>
      <c r="C76" s="41"/>
      <c r="D76" s="41"/>
      <c r="E76" s="41"/>
      <c r="F76" s="41"/>
      <c r="G76" s="41"/>
      <c r="H76" s="41"/>
    </row>
    <row r="77" spans="1:16" x14ac:dyDescent="0.2">
      <c r="B77" s="41"/>
      <c r="C77" s="41"/>
      <c r="D77" s="41"/>
      <c r="E77" s="41"/>
      <c r="F77" s="41"/>
      <c r="G77" s="41"/>
      <c r="H77" s="41"/>
    </row>
    <row r="78" spans="1:16" ht="15.75" x14ac:dyDescent="0.25">
      <c r="A78" s="153" t="s">
        <v>56</v>
      </c>
      <c r="B78" s="41"/>
      <c r="C78" s="41"/>
      <c r="D78" s="41"/>
      <c r="E78" s="41"/>
      <c r="F78" s="41"/>
      <c r="G78" s="41"/>
      <c r="H78" s="41"/>
    </row>
    <row r="79" spans="1:16" hidden="1" x14ac:dyDescent="0.2">
      <c r="B79" s="41"/>
      <c r="C79" s="41"/>
      <c r="D79" s="41"/>
      <c r="E79" s="41"/>
      <c r="F79" s="41"/>
      <c r="G79" s="41"/>
      <c r="H79" s="41"/>
    </row>
    <row r="80" spans="1:16" hidden="1" x14ac:dyDescent="0.2">
      <c r="B80" s="163" t="s">
        <v>62</v>
      </c>
      <c r="C80" s="163"/>
      <c r="D80" s="163" t="s">
        <v>63</v>
      </c>
      <c r="E80" s="163"/>
      <c r="F80" s="163"/>
      <c r="G80" s="163"/>
      <c r="H80" s="163" t="s">
        <v>64</v>
      </c>
    </row>
    <row r="81" spans="1:16" hidden="1" x14ac:dyDescent="0.2">
      <c r="A81" s="132" t="s">
        <v>192</v>
      </c>
      <c r="B81" s="53">
        <f>Anspruchsvoraussetzung!B18</f>
        <v>5</v>
      </c>
      <c r="C81" s="41"/>
      <c r="D81" s="41">
        <v>0</v>
      </c>
      <c r="E81" s="41"/>
      <c r="F81" s="41"/>
      <c r="G81" s="41"/>
      <c r="H81" s="41">
        <f>+B81*D81</f>
        <v>0</v>
      </c>
    </row>
    <row r="82" spans="1:16" hidden="1" x14ac:dyDescent="0.2">
      <c r="A82" s="132" t="s">
        <v>58</v>
      </c>
      <c r="B82" s="53">
        <f>Anspruchsvoraussetzung!B19</f>
        <v>0</v>
      </c>
      <c r="C82" s="41"/>
      <c r="D82" s="41">
        <v>1</v>
      </c>
      <c r="E82" s="41"/>
      <c r="F82" s="41"/>
      <c r="G82" s="41"/>
      <c r="H82" s="41">
        <f>+B82*D82</f>
        <v>0</v>
      </c>
    </row>
    <row r="83" spans="1:16" hidden="1" x14ac:dyDescent="0.2">
      <c r="A83" s="132" t="s">
        <v>59</v>
      </c>
      <c r="B83" s="53">
        <f>Anspruchsvoraussetzung!B20</f>
        <v>0</v>
      </c>
      <c r="C83" s="41"/>
      <c r="D83" s="41">
        <v>0.75</v>
      </c>
      <c r="E83" s="41"/>
      <c r="F83" s="41"/>
      <c r="G83" s="41"/>
      <c r="H83" s="41">
        <f>+B83*D83</f>
        <v>0</v>
      </c>
    </row>
    <row r="84" spans="1:16" hidden="1" x14ac:dyDescent="0.2">
      <c r="A84" s="132" t="s">
        <v>60</v>
      </c>
      <c r="B84" s="53">
        <f>Anspruchsvoraussetzung!B21</f>
        <v>0</v>
      </c>
      <c r="C84" s="41"/>
      <c r="D84" s="41">
        <v>0.5</v>
      </c>
      <c r="E84" s="41"/>
      <c r="F84" s="41"/>
      <c r="G84" s="41"/>
      <c r="H84" s="41">
        <f>+B84*D84</f>
        <v>0</v>
      </c>
    </row>
    <row r="85" spans="1:16" hidden="1" x14ac:dyDescent="0.2">
      <c r="A85" s="132" t="s">
        <v>61</v>
      </c>
      <c r="B85" s="53">
        <f>Anspruchsvoraussetzung!B22</f>
        <v>1</v>
      </c>
      <c r="D85" s="132">
        <v>0.3</v>
      </c>
      <c r="H85" s="41">
        <f>+B85*D85</f>
        <v>0.3</v>
      </c>
    </row>
    <row r="86" spans="1:16" hidden="1" x14ac:dyDescent="0.2"/>
    <row r="87" spans="1:16" hidden="1" x14ac:dyDescent="0.2">
      <c r="H87" s="164">
        <f>SUM(H81:H86)</f>
        <v>0.3</v>
      </c>
    </row>
    <row r="89" spans="1:16" x14ac:dyDescent="0.2">
      <c r="A89" s="132" t="s">
        <v>200</v>
      </c>
      <c r="B89" s="38" t="s">
        <v>72</v>
      </c>
      <c r="D89" s="38" t="s">
        <v>72</v>
      </c>
      <c r="E89" s="165"/>
      <c r="F89" s="38" t="s">
        <v>72</v>
      </c>
      <c r="H89" s="38" t="s">
        <v>72</v>
      </c>
      <c r="J89" s="38" t="s">
        <v>72</v>
      </c>
      <c r="L89" s="38" t="s">
        <v>72</v>
      </c>
      <c r="M89" s="165"/>
      <c r="N89" s="38" t="s">
        <v>72</v>
      </c>
      <c r="P89" s="38" t="s">
        <v>72</v>
      </c>
    </row>
    <row r="90" spans="1:16" hidden="1" x14ac:dyDescent="0.2">
      <c r="A90" s="132" t="s">
        <v>72</v>
      </c>
    </row>
    <row r="91" spans="1:16" hidden="1" x14ac:dyDescent="0.2">
      <c r="A91" s="132" t="s">
        <v>73</v>
      </c>
    </row>
    <row r="92" spans="1:16" x14ac:dyDescent="0.2">
      <c r="A92" s="161" t="s">
        <v>201</v>
      </c>
    </row>
    <row r="99" spans="1:2" ht="15.75" x14ac:dyDescent="0.25">
      <c r="A99" s="136" t="s">
        <v>378</v>
      </c>
      <c r="B99" s="175">
        <f>SUM(B75:P75)</f>
        <v>188095.2</v>
      </c>
    </row>
    <row r="362" spans="1:6" ht="15.75" x14ac:dyDescent="0.25">
      <c r="A362" s="153" t="s">
        <v>184</v>
      </c>
    </row>
    <row r="364" spans="1:6" x14ac:dyDescent="0.2">
      <c r="A364" s="132" t="s">
        <v>76</v>
      </c>
      <c r="B364" s="41">
        <v>1000</v>
      </c>
      <c r="D364" s="41">
        <v>1000</v>
      </c>
      <c r="E364" s="41"/>
      <c r="F364" s="41"/>
    </row>
    <row r="365" spans="1:6" x14ac:dyDescent="0.2">
      <c r="A365" s="132" t="s">
        <v>185</v>
      </c>
      <c r="B365" s="41">
        <v>1180</v>
      </c>
      <c r="D365" s="41">
        <v>1180</v>
      </c>
      <c r="E365" s="41"/>
      <c r="F365" s="41"/>
    </row>
    <row r="366" spans="1:6" x14ac:dyDescent="0.2">
      <c r="A366" s="132" t="s">
        <v>77</v>
      </c>
      <c r="B366" s="41">
        <v>1180</v>
      </c>
      <c r="D366" s="41">
        <v>1180</v>
      </c>
      <c r="E366" s="41"/>
      <c r="F366" s="41"/>
    </row>
    <row r="367" spans="1:6" x14ac:dyDescent="0.2">
      <c r="A367" s="132" t="s">
        <v>78</v>
      </c>
      <c r="B367" s="41">
        <v>0</v>
      </c>
      <c r="D367" s="41">
        <v>0</v>
      </c>
      <c r="E367" s="41"/>
      <c r="F367" s="41"/>
    </row>
  </sheetData>
  <sheetProtection formatCells="0" formatColumns="0" formatRows="0" insertColumns="0" insertRows="0" insertHyperlinks="0" deleteColumns="0" deleteRows="0" selectLockedCells="1" sort="0" autoFilter="0" pivotTables="0"/>
  <mergeCells count="3">
    <mergeCell ref="K1:N1"/>
    <mergeCell ref="K2:N2"/>
    <mergeCell ref="K3:N3"/>
  </mergeCells>
  <dataValidations count="1">
    <dataValidation type="list" allowBlank="1" showInputMessage="1" showErrorMessage="1" sqref="H89 B89 D89:F89 P89 J89 L89:N89" xr:uid="{74375772-4FE7-4BF1-A0C5-9D0FD54566E0}">
      <formula1>$A$90:$A$91</formula1>
    </dataValidation>
  </dataValidations>
  <pageMargins left="0.7" right="0.7" top="0.78740157499999996" bottom="0.78740157499999996" header="0.3" footer="0.3"/>
  <pageSetup paperSize="9" scale="54" fitToHeight="0" orientation="landscape" r:id="rId1"/>
  <rowBreaks count="1" manualBreakCount="1">
    <brk id="3"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70C91-FFAA-45DF-B3A1-062EB7977A87}">
  <dimension ref="A1:F195"/>
  <sheetViews>
    <sheetView zoomScale="85" zoomScaleNormal="85" workbookViewId="0">
      <selection activeCell="A18" sqref="A18:E18"/>
    </sheetView>
  </sheetViews>
  <sheetFormatPr baseColWidth="10" defaultRowHeight="15" x14ac:dyDescent="0.25"/>
  <cols>
    <col min="1" max="1" width="28.5703125" style="178" customWidth="1"/>
    <col min="2" max="3" width="65.5703125" style="178" customWidth="1"/>
    <col min="4" max="4" width="36.140625" style="178" customWidth="1"/>
    <col min="5" max="5" width="42.28515625" style="178" customWidth="1"/>
    <col min="6" max="6" width="55.5703125" style="178" customWidth="1"/>
    <col min="7" max="16384" width="11.42578125" style="178"/>
  </cols>
  <sheetData>
    <row r="1" spans="1:6" ht="28.5" x14ac:dyDescent="0.45">
      <c r="A1" s="177" t="s">
        <v>228</v>
      </c>
    </row>
    <row r="2" spans="1:6" x14ac:dyDescent="0.25">
      <c r="A2" t="s">
        <v>229</v>
      </c>
    </row>
    <row r="3" spans="1:6" x14ac:dyDescent="0.25">
      <c r="A3" s="179" t="s">
        <v>384</v>
      </c>
    </row>
    <row r="5" spans="1:6" ht="23.25" x14ac:dyDescent="0.35">
      <c r="A5" s="180"/>
      <c r="B5" s="180" t="s">
        <v>230</v>
      </c>
      <c r="C5" s="180" t="s">
        <v>350</v>
      </c>
      <c r="D5" s="180" t="s">
        <v>231</v>
      </c>
      <c r="E5" s="180" t="s">
        <v>379</v>
      </c>
      <c r="F5" s="180" t="s">
        <v>232</v>
      </c>
    </row>
    <row r="6" spans="1:6" ht="23.25" x14ac:dyDescent="0.35">
      <c r="A6" s="180" t="s">
        <v>233</v>
      </c>
      <c r="B6" s="197" t="s">
        <v>234</v>
      </c>
      <c r="C6" s="197" t="s">
        <v>351</v>
      </c>
      <c r="D6" s="197">
        <v>7500</v>
      </c>
      <c r="E6" s="197">
        <v>0</v>
      </c>
      <c r="F6" s="180">
        <f>MAX(0,(D6-E6))</f>
        <v>7500</v>
      </c>
    </row>
    <row r="7" spans="1:6" ht="23.25" x14ac:dyDescent="0.35">
      <c r="A7" s="180" t="s">
        <v>235</v>
      </c>
      <c r="B7" s="197" t="s">
        <v>236</v>
      </c>
      <c r="C7" s="197" t="s">
        <v>352</v>
      </c>
      <c r="D7" s="197">
        <v>35000</v>
      </c>
      <c r="E7" s="197">
        <v>9000</v>
      </c>
      <c r="F7" s="180">
        <f t="shared" ref="F7:F11" si="0">MAX(0,(D7-E7))</f>
        <v>26000</v>
      </c>
    </row>
    <row r="8" spans="1:6" ht="23.25" x14ac:dyDescent="0.35">
      <c r="A8" s="180" t="s">
        <v>237</v>
      </c>
      <c r="B8" s="197" t="s">
        <v>385</v>
      </c>
      <c r="C8" s="197" t="s">
        <v>352</v>
      </c>
      <c r="D8" s="197">
        <v>18000</v>
      </c>
      <c r="E8" s="197">
        <v>0</v>
      </c>
      <c r="F8" s="180">
        <f t="shared" si="0"/>
        <v>18000</v>
      </c>
    </row>
    <row r="9" spans="1:6" ht="23.25" x14ac:dyDescent="0.35">
      <c r="A9" s="180" t="s">
        <v>238</v>
      </c>
      <c r="B9" s="197"/>
      <c r="C9" s="197" t="s">
        <v>352</v>
      </c>
      <c r="D9" s="197">
        <v>25000</v>
      </c>
      <c r="E9" s="197">
        <f>D9*0.3</f>
        <v>7500</v>
      </c>
      <c r="F9" s="180">
        <f t="shared" si="0"/>
        <v>17500</v>
      </c>
    </row>
    <row r="10" spans="1:6" ht="23.25" x14ac:dyDescent="0.35">
      <c r="A10" s="180" t="s">
        <v>239</v>
      </c>
      <c r="B10" s="197"/>
      <c r="C10" s="197" t="s">
        <v>352</v>
      </c>
      <c r="D10" s="197"/>
      <c r="E10" s="197"/>
      <c r="F10" s="180">
        <f t="shared" si="0"/>
        <v>0</v>
      </c>
    </row>
    <row r="11" spans="1:6" ht="23.25" x14ac:dyDescent="0.35">
      <c r="A11" s="180" t="s">
        <v>240</v>
      </c>
      <c r="B11" s="197"/>
      <c r="C11" s="197" t="s">
        <v>352</v>
      </c>
      <c r="D11" s="197"/>
      <c r="E11" s="197"/>
      <c r="F11" s="180">
        <f t="shared" si="0"/>
        <v>0</v>
      </c>
    </row>
    <row r="12" spans="1:6" ht="24" thickBot="1" x14ac:dyDescent="0.4">
      <c r="A12" s="180"/>
      <c r="B12" s="180"/>
      <c r="C12" s="180"/>
      <c r="D12" s="180"/>
      <c r="E12" s="180"/>
    </row>
    <row r="13" spans="1:6" ht="24" thickBot="1" x14ac:dyDescent="0.4">
      <c r="A13" s="180" t="s">
        <v>241</v>
      </c>
      <c r="B13" s="180"/>
      <c r="C13" s="180"/>
      <c r="D13" s="180"/>
      <c r="E13" s="180"/>
      <c r="F13" s="181">
        <f>SUM(F6:F12)</f>
        <v>69000</v>
      </c>
    </row>
    <row r="18" spans="1:5" ht="48.75" customHeight="1" x14ac:dyDescent="0.25">
      <c r="A18" s="279" t="s">
        <v>256</v>
      </c>
      <c r="B18" s="279"/>
      <c r="C18" s="279"/>
      <c r="D18" s="279"/>
      <c r="E18" s="279"/>
    </row>
    <row r="20" spans="1:5" x14ac:dyDescent="0.25">
      <c r="A20" t="s">
        <v>255</v>
      </c>
    </row>
    <row r="28" spans="1:5" ht="51" x14ac:dyDescent="0.75">
      <c r="B28" s="182"/>
      <c r="C28" s="182"/>
    </row>
    <row r="194" spans="3:3" x14ac:dyDescent="0.25">
      <c r="C194" s="204" t="s">
        <v>351</v>
      </c>
    </row>
    <row r="195" spans="3:3" x14ac:dyDescent="0.25">
      <c r="C195" s="204" t="s">
        <v>352</v>
      </c>
    </row>
  </sheetData>
  <mergeCells count="1">
    <mergeCell ref="A18:E18"/>
  </mergeCells>
  <dataValidations count="1">
    <dataValidation type="list" allowBlank="1" showInputMessage="1" showErrorMessage="1" sqref="C6:C11" xr:uid="{6E33F6BF-23D7-4C86-8672-2E4BF223F8D4}">
      <formula1>$C$194:$C$195</formula1>
    </dataValidation>
  </dataValidations>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22486-2C90-4EB1-B6F2-A5DFEFF81743}">
  <dimension ref="A1:N34"/>
  <sheetViews>
    <sheetView zoomScaleNormal="100" workbookViewId="0">
      <selection activeCell="B9" sqref="B9"/>
    </sheetView>
  </sheetViews>
  <sheetFormatPr baseColWidth="10" defaultRowHeight="15" x14ac:dyDescent="0.25"/>
  <cols>
    <col min="1" max="1" width="26.42578125" style="185" customWidth="1"/>
    <col min="2" max="2" width="15.5703125" style="185" customWidth="1"/>
    <col min="3" max="3" width="3.5703125" style="185" customWidth="1"/>
    <col min="4" max="4" width="14.5703125" style="185" customWidth="1"/>
    <col min="5" max="5" width="3.5703125" style="185" customWidth="1"/>
    <col min="6" max="6" width="16.140625" style="185" customWidth="1"/>
    <col min="7" max="7" width="3" style="185" customWidth="1"/>
    <col min="8" max="8" width="14.85546875" style="185" customWidth="1"/>
    <col min="9" max="9" width="2.42578125" style="185" customWidth="1"/>
    <col min="10" max="10" width="15" style="185" customWidth="1"/>
    <col min="11" max="11" width="3.42578125" style="185" customWidth="1"/>
    <col min="12" max="12" width="15.42578125" style="185" customWidth="1"/>
    <col min="13" max="13" width="2.85546875" style="185" customWidth="1"/>
    <col min="14" max="14" width="15" style="185" customWidth="1"/>
    <col min="15" max="16384" width="11.42578125" style="185"/>
  </cols>
  <sheetData>
    <row r="1" spans="1:12" ht="15.75" x14ac:dyDescent="0.25">
      <c r="A1" s="130" t="s">
        <v>0</v>
      </c>
      <c r="B1" s="41"/>
      <c r="C1" s="41"/>
      <c r="D1" s="41"/>
      <c r="E1" s="41"/>
      <c r="F1" s="41"/>
      <c r="G1" s="41"/>
      <c r="H1" s="131" t="s">
        <v>1</v>
      </c>
      <c r="I1" s="277" t="str">
        <f>+Anspruchsvoraussetzung!J1</f>
        <v>Mustermann, Max</v>
      </c>
      <c r="J1" s="278"/>
      <c r="K1" s="278"/>
      <c r="L1" s="278"/>
    </row>
    <row r="2" spans="1:12" ht="15.75" x14ac:dyDescent="0.25">
      <c r="A2" s="133" t="s">
        <v>216</v>
      </c>
      <c r="B2" s="41"/>
      <c r="C2" s="41"/>
      <c r="D2" s="41"/>
      <c r="E2" s="41"/>
      <c r="F2" s="41"/>
      <c r="G2" s="41"/>
      <c r="H2" s="131" t="s">
        <v>2</v>
      </c>
      <c r="I2" s="277" t="str">
        <f>+Anspruchsvoraussetzung!J2</f>
        <v>205/5371/5211</v>
      </c>
      <c r="J2" s="278"/>
      <c r="K2" s="278"/>
      <c r="L2" s="278"/>
    </row>
    <row r="3" spans="1:12" ht="15.75" x14ac:dyDescent="0.25">
      <c r="A3" s="152"/>
      <c r="B3" s="41"/>
      <c r="C3" s="41"/>
      <c r="D3" s="41"/>
      <c r="E3" s="41"/>
      <c r="F3" s="41"/>
      <c r="G3" s="41"/>
      <c r="H3" s="131" t="s">
        <v>3</v>
      </c>
      <c r="I3" s="277" t="str">
        <f>+Anspruchsvoraussetzung!J3</f>
        <v>Teststadt</v>
      </c>
      <c r="J3" s="278"/>
      <c r="K3" s="278"/>
      <c r="L3" s="278"/>
    </row>
    <row r="5" spans="1:12" ht="15.75" x14ac:dyDescent="0.25">
      <c r="A5" s="280" t="str">
        <f>IF('Kalkulation Ü III'!H121&lt;1,"Mandant ist zur Neustarthilfe berechtigt", "Mandant ist nicht zur Neustarthilfe berechtigt")</f>
        <v>Mandant ist zur Neustarthilfe berechtigt</v>
      </c>
      <c r="B5" s="280"/>
      <c r="C5" s="280"/>
      <c r="D5" s="280"/>
      <c r="E5" s="280"/>
    </row>
    <row r="8" spans="1:12" ht="15.75" x14ac:dyDescent="0.25">
      <c r="A8" s="186"/>
      <c r="B8" s="186"/>
      <c r="C8" s="186"/>
    </row>
    <row r="9" spans="1:12" ht="15.75" x14ac:dyDescent="0.25">
      <c r="A9" s="187" t="s">
        <v>217</v>
      </c>
      <c r="B9" s="184">
        <v>50000</v>
      </c>
      <c r="C9" s="186"/>
    </row>
    <row r="10" spans="1:12" ht="15.75" x14ac:dyDescent="0.25">
      <c r="A10" s="186"/>
      <c r="B10" s="186"/>
      <c r="C10" s="186"/>
    </row>
    <row r="11" spans="1:12" ht="15.75" x14ac:dyDescent="0.25">
      <c r="A11" s="186"/>
      <c r="B11" s="186"/>
      <c r="C11" s="186"/>
    </row>
    <row r="12" spans="1:12" ht="15.75" x14ac:dyDescent="0.25">
      <c r="A12" s="186" t="s">
        <v>218</v>
      </c>
      <c r="B12" s="186">
        <f>MIN(B9/4,7500)</f>
        <v>7500</v>
      </c>
      <c r="C12" s="186"/>
    </row>
    <row r="13" spans="1:12" ht="15.75" x14ac:dyDescent="0.25">
      <c r="A13" s="186"/>
      <c r="B13" s="186"/>
      <c r="C13" s="186"/>
    </row>
    <row r="14" spans="1:12" ht="15.75" x14ac:dyDescent="0.25">
      <c r="A14" s="186"/>
      <c r="B14" s="186"/>
      <c r="C14" s="186"/>
    </row>
    <row r="15" spans="1:12" ht="15.75" x14ac:dyDescent="0.25">
      <c r="A15" s="186" t="s">
        <v>219</v>
      </c>
      <c r="B15" s="186"/>
      <c r="C15" s="186"/>
    </row>
    <row r="16" spans="1:12" ht="15.75" x14ac:dyDescent="0.25">
      <c r="A16" s="186"/>
      <c r="B16" s="186"/>
      <c r="C16" s="186"/>
    </row>
    <row r="17" spans="1:14" ht="15.75" x14ac:dyDescent="0.25">
      <c r="A17" s="140"/>
      <c r="B17" s="141">
        <v>44197</v>
      </c>
      <c r="C17" s="141"/>
      <c r="D17" s="141">
        <v>44228</v>
      </c>
      <c r="E17" s="132"/>
      <c r="F17" s="141">
        <v>44256</v>
      </c>
      <c r="G17" s="141"/>
      <c r="H17" s="141">
        <v>44287</v>
      </c>
      <c r="I17" s="132"/>
      <c r="J17" s="141">
        <v>44317</v>
      </c>
      <c r="K17" s="141"/>
      <c r="L17" s="141">
        <v>44348</v>
      </c>
      <c r="N17" s="141" t="s">
        <v>5</v>
      </c>
    </row>
    <row r="18" spans="1:14" ht="15.75" x14ac:dyDescent="0.25">
      <c r="A18" s="140"/>
      <c r="B18" s="141"/>
      <c r="C18" s="140"/>
      <c r="D18" s="141"/>
      <c r="E18" s="140"/>
      <c r="F18" s="141"/>
      <c r="G18" s="141"/>
      <c r="H18" s="141"/>
      <c r="I18" s="140"/>
      <c r="J18" s="141"/>
      <c r="K18" s="140"/>
      <c r="L18" s="141"/>
    </row>
    <row r="19" spans="1:14" ht="15.75" x14ac:dyDescent="0.25">
      <c r="A19" s="140" t="s">
        <v>80</v>
      </c>
      <c r="B19" s="145">
        <f>'Kalkulation Ü III'!F27</f>
        <v>3450</v>
      </c>
      <c r="C19" s="146"/>
      <c r="D19" s="145">
        <f>'Kalkulation Ü III'!H27</f>
        <v>3450</v>
      </c>
      <c r="E19" s="146"/>
      <c r="F19" s="145">
        <f>'Kalkulation Ü III'!J27</f>
        <v>10450</v>
      </c>
      <c r="G19" s="146"/>
      <c r="H19" s="145">
        <f>'Kalkulation Ü III'!L27</f>
        <v>450</v>
      </c>
      <c r="I19" s="146"/>
      <c r="J19" s="145">
        <f>'Kalkulation Ü III'!N27</f>
        <v>450</v>
      </c>
      <c r="K19" s="146"/>
      <c r="L19" s="145">
        <f>'Kalkulation Ü III'!P27</f>
        <v>450</v>
      </c>
      <c r="M19" s="188"/>
      <c r="N19" s="145">
        <f>SUM(B19:L19)</f>
        <v>18700</v>
      </c>
    </row>
    <row r="21" spans="1:14" ht="15.75" x14ac:dyDescent="0.25">
      <c r="A21" s="186" t="s">
        <v>220</v>
      </c>
      <c r="B21" s="189">
        <f>B9/2</f>
        <v>25000</v>
      </c>
      <c r="D21" s="190">
        <f>MIN(B21,15000)</f>
        <v>15000</v>
      </c>
    </row>
    <row r="22" spans="1:14" ht="15.75" x14ac:dyDescent="0.25">
      <c r="A22" s="186"/>
      <c r="B22" s="186"/>
      <c r="D22" s="191"/>
    </row>
    <row r="23" spans="1:14" ht="15.75" x14ac:dyDescent="0.25">
      <c r="A23" s="186" t="s">
        <v>221</v>
      </c>
      <c r="B23" s="192">
        <f>MIN(0,N19-B21)</f>
        <v>-6300</v>
      </c>
      <c r="D23" s="191"/>
    </row>
    <row r="24" spans="1:14" ht="15.75" x14ac:dyDescent="0.25">
      <c r="A24" s="186"/>
      <c r="B24" s="186"/>
      <c r="D24" s="191"/>
    </row>
    <row r="25" spans="1:14" ht="15.75" x14ac:dyDescent="0.25">
      <c r="A25" s="186" t="s">
        <v>222</v>
      </c>
      <c r="B25" s="193">
        <f>-B23/B21</f>
        <v>0.252</v>
      </c>
      <c r="D25" s="194">
        <f>1-B25</f>
        <v>0.748</v>
      </c>
    </row>
    <row r="26" spans="1:14" ht="15.75" x14ac:dyDescent="0.25">
      <c r="A26" s="186"/>
      <c r="B26" s="186"/>
    </row>
    <row r="27" spans="1:14" ht="15.75" x14ac:dyDescent="0.25">
      <c r="A27" s="186" t="s">
        <v>225</v>
      </c>
      <c r="B27" s="193">
        <f>IF(0.9-D25&gt;0,MIN(50%,90%-D25),0)</f>
        <v>0.15200000000000002</v>
      </c>
    </row>
    <row r="28" spans="1:14" ht="16.5" thickBot="1" x14ac:dyDescent="0.3">
      <c r="A28" s="186"/>
      <c r="B28" s="189"/>
    </row>
    <row r="29" spans="1:14" ht="51.75" thickBot="1" x14ac:dyDescent="0.8">
      <c r="A29" s="195" t="s">
        <v>223</v>
      </c>
      <c r="B29" s="196">
        <f>D21*B27</f>
        <v>2280.0000000000005</v>
      </c>
      <c r="H29" s="182" t="s">
        <v>242</v>
      </c>
    </row>
    <row r="30" spans="1:14" ht="15.75" x14ac:dyDescent="0.25">
      <c r="A30" s="186"/>
      <c r="B30" s="189"/>
    </row>
    <row r="31" spans="1:14" ht="15.75" x14ac:dyDescent="0.25">
      <c r="A31" s="186" t="str">
        <f>A12</f>
        <v>vorläufige Neustarthilfe:</v>
      </c>
      <c r="B31" s="189">
        <f>B12</f>
        <v>7500</v>
      </c>
    </row>
    <row r="32" spans="1:14" ht="15.75" x14ac:dyDescent="0.25">
      <c r="A32" s="186"/>
      <c r="B32" s="189"/>
    </row>
    <row r="33" spans="1:2" ht="15.75" x14ac:dyDescent="0.25">
      <c r="A33" s="186" t="s">
        <v>224</v>
      </c>
      <c r="B33" s="189">
        <f>B29-B31</f>
        <v>-5220</v>
      </c>
    </row>
    <row r="34" spans="1:2" ht="15.75" x14ac:dyDescent="0.25">
      <c r="B34" s="189"/>
    </row>
  </sheetData>
  <sheetProtection sheet="1" objects="1" scenarios="1" selectLockedCells="1"/>
  <mergeCells count="4">
    <mergeCell ref="I1:L1"/>
    <mergeCell ref="I2:L2"/>
    <mergeCell ref="I3:L3"/>
    <mergeCell ref="A5:E5"/>
  </mergeCells>
  <conditionalFormatting sqref="A5:E5">
    <cfRule type="containsText" dxfId="4" priority="1" operator="containsText" text="Mandant ist zur Neustarthilfe berechtigt">
      <formula>NOT(ISERROR(SEARCH("Mandant ist zur Neustarthilfe berechtigt",A5)))</formula>
    </cfRule>
    <cfRule type="containsText" dxfId="3" priority="2" operator="containsText" text="Mandant ist nicht zur Neustarthilfe berechtigt">
      <formula>NOT(ISERROR(SEARCH("Mandant ist nicht zur Neustarthilfe berechtigt",A5)))</formula>
    </cfRule>
  </conditionalFormatting>
  <pageMargins left="0.7" right="0.7" top="0.78740157499999996" bottom="0.78740157499999996" header="0.3" footer="0.3"/>
  <pageSetup paperSize="9" orientation="portrait" horizontalDpi="0" verticalDpi="0" copies="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FB5A-86AA-4D66-95D1-6D60ACBFB068}">
  <dimension ref="A1:R59"/>
  <sheetViews>
    <sheetView zoomScale="115" zoomScaleNormal="115" workbookViewId="0">
      <selection activeCell="A9" sqref="A9"/>
    </sheetView>
  </sheetViews>
  <sheetFormatPr baseColWidth="10" defaultRowHeight="15" x14ac:dyDescent="0.25"/>
  <cols>
    <col min="1" max="1" width="95.140625" style="231" customWidth="1"/>
    <col min="2" max="2" width="17.42578125" style="178" customWidth="1"/>
    <col min="3" max="3" width="17.5703125" style="178" customWidth="1"/>
    <col min="4" max="4" width="17.140625" style="178" customWidth="1"/>
    <col min="5" max="5" width="17.42578125" style="203" customWidth="1"/>
    <col min="6" max="6" width="18.42578125" style="203" customWidth="1"/>
    <col min="7" max="7" width="17.7109375" style="203" customWidth="1"/>
    <col min="8" max="8" width="15.5703125" style="203" customWidth="1"/>
    <col min="9" max="9" width="17.140625" style="203" customWidth="1"/>
    <col min="10" max="10" width="16.42578125" style="203" customWidth="1"/>
    <col min="11" max="11" width="17" style="203" customWidth="1"/>
    <col min="12" max="12" width="13" style="203" customWidth="1"/>
    <col min="13" max="14" width="13.85546875" style="203" customWidth="1"/>
    <col min="15" max="15" width="14" style="178" customWidth="1"/>
    <col min="16" max="16" width="15.140625" style="178" customWidth="1"/>
    <col min="17" max="17" width="15.85546875" style="178" customWidth="1"/>
    <col min="18" max="16384" width="11.42578125" style="178"/>
  </cols>
  <sheetData>
    <row r="1" spans="1:17" ht="18.75" x14ac:dyDescent="0.3">
      <c r="A1" s="200" t="s">
        <v>258</v>
      </c>
      <c r="B1" s="201" t="s">
        <v>259</v>
      </c>
      <c r="C1" s="281" t="s">
        <v>226</v>
      </c>
      <c r="D1" s="281"/>
      <c r="E1" s="202"/>
      <c r="N1" s="204" t="s">
        <v>260</v>
      </c>
    </row>
    <row r="2" spans="1:17" ht="18.75" x14ac:dyDescent="0.3">
      <c r="A2" s="200"/>
      <c r="B2" s="201"/>
      <c r="C2" s="205"/>
      <c r="D2" s="205"/>
      <c r="E2" s="202"/>
      <c r="N2" s="204" t="s">
        <v>226</v>
      </c>
    </row>
    <row r="3" spans="1:17" ht="15" customHeight="1" x14ac:dyDescent="0.3">
      <c r="A3" s="206" t="s">
        <v>261</v>
      </c>
      <c r="B3" s="207">
        <v>43891</v>
      </c>
      <c r="C3" s="207">
        <v>43922</v>
      </c>
      <c r="D3" s="207">
        <v>43952</v>
      </c>
      <c r="E3" s="207">
        <v>43983</v>
      </c>
      <c r="F3" s="207">
        <v>44013</v>
      </c>
      <c r="G3" s="207">
        <v>44044</v>
      </c>
      <c r="H3" s="207">
        <v>44075</v>
      </c>
      <c r="I3" s="207">
        <v>44105</v>
      </c>
      <c r="J3" s="207">
        <v>44136</v>
      </c>
      <c r="K3" s="207">
        <v>44166</v>
      </c>
      <c r="L3" s="207">
        <v>44197</v>
      </c>
      <c r="M3" s="207">
        <v>44228</v>
      </c>
      <c r="N3" s="207">
        <v>44256</v>
      </c>
      <c r="O3" s="207">
        <v>44287</v>
      </c>
      <c r="P3" s="207">
        <v>44317</v>
      </c>
      <c r="Q3" s="207">
        <v>44348</v>
      </c>
    </row>
    <row r="4" spans="1:17" ht="18.75" x14ac:dyDescent="0.3">
      <c r="A4" s="208" t="s">
        <v>262</v>
      </c>
      <c r="B4" s="209">
        <v>150000</v>
      </c>
      <c r="C4" s="209">
        <v>150000</v>
      </c>
      <c r="D4" s="209">
        <v>50000</v>
      </c>
      <c r="E4" s="209">
        <v>12000</v>
      </c>
      <c r="F4" s="209">
        <v>12000</v>
      </c>
      <c r="G4" s="209">
        <v>12000</v>
      </c>
      <c r="H4" s="209">
        <v>12000</v>
      </c>
      <c r="I4" s="209">
        <v>12000</v>
      </c>
      <c r="J4" s="209">
        <f>'Kalkulation Ü III'!B27</f>
        <v>10450</v>
      </c>
      <c r="K4" s="209">
        <f>'Kalkulation Ü III'!D27</f>
        <v>10450</v>
      </c>
      <c r="L4" s="209">
        <f>'Kalkulation Ü III'!F27</f>
        <v>3450</v>
      </c>
      <c r="M4" s="209">
        <f>'Kalkulation Ü III'!H27</f>
        <v>3450</v>
      </c>
      <c r="N4" s="209">
        <f>'Kalkulation Ü III'!J27</f>
        <v>10450</v>
      </c>
      <c r="O4" s="209">
        <f>'Kalkulation Ü III'!L27</f>
        <v>450</v>
      </c>
      <c r="P4" s="209">
        <f>'Kalkulation Ü III'!N27</f>
        <v>450</v>
      </c>
      <c r="Q4" s="209">
        <f>'Kalkulation Ü III'!P27</f>
        <v>450</v>
      </c>
    </row>
    <row r="5" spans="1:17" ht="18.75" x14ac:dyDescent="0.3">
      <c r="A5" s="201" t="s">
        <v>263</v>
      </c>
      <c r="B5" s="210">
        <v>-80000</v>
      </c>
      <c r="C5" s="210">
        <v>-80000</v>
      </c>
      <c r="D5" s="210">
        <v>-75000</v>
      </c>
      <c r="E5" s="210">
        <f>E4*0.6</f>
        <v>7200</v>
      </c>
      <c r="F5" s="210"/>
      <c r="G5" s="210"/>
      <c r="H5" s="210"/>
      <c r="I5" s="210"/>
      <c r="J5" s="210"/>
      <c r="K5" s="210"/>
      <c r="L5" s="210"/>
      <c r="M5" s="210"/>
      <c r="N5" s="210"/>
      <c r="O5" s="210"/>
      <c r="P5" s="210"/>
      <c r="Q5" s="210"/>
    </row>
    <row r="6" spans="1:17" ht="18.75" x14ac:dyDescent="0.3">
      <c r="A6" s="211" t="s">
        <v>264</v>
      </c>
      <c r="B6" s="210"/>
      <c r="C6" s="210"/>
      <c r="D6" s="210">
        <v>35000</v>
      </c>
      <c r="E6" s="210">
        <v>-15000</v>
      </c>
      <c r="F6" s="210">
        <v>-15000</v>
      </c>
      <c r="G6" s="210">
        <v>-5000</v>
      </c>
      <c r="H6" s="210"/>
      <c r="I6" s="210"/>
      <c r="J6" s="210"/>
      <c r="K6" s="210"/>
      <c r="L6" s="210"/>
      <c r="M6" s="210"/>
      <c r="N6" s="210"/>
      <c r="O6" s="210"/>
      <c r="P6" s="210"/>
      <c r="Q6" s="210"/>
    </row>
    <row r="7" spans="1:17" ht="18.75" x14ac:dyDescent="0.3">
      <c r="A7" s="208" t="s">
        <v>265</v>
      </c>
      <c r="B7" s="209">
        <f>MAX(SUM(B4:B6),0)</f>
        <v>70000</v>
      </c>
      <c r="C7" s="209">
        <f t="shared" ref="C7:Q7" si="0">MAX(SUM(C4:C6),0)</f>
        <v>70000</v>
      </c>
      <c r="D7" s="209">
        <f t="shared" si="0"/>
        <v>10000</v>
      </c>
      <c r="E7" s="209">
        <f t="shared" si="0"/>
        <v>4200</v>
      </c>
      <c r="F7" s="209">
        <f t="shared" si="0"/>
        <v>0</v>
      </c>
      <c r="G7" s="209">
        <f t="shared" si="0"/>
        <v>7000</v>
      </c>
      <c r="H7" s="209">
        <f t="shared" si="0"/>
        <v>12000</v>
      </c>
      <c r="I7" s="209">
        <f t="shared" si="0"/>
        <v>12000</v>
      </c>
      <c r="J7" s="209">
        <f t="shared" si="0"/>
        <v>10450</v>
      </c>
      <c r="K7" s="209">
        <f t="shared" si="0"/>
        <v>10450</v>
      </c>
      <c r="L7" s="209">
        <f t="shared" si="0"/>
        <v>3450</v>
      </c>
      <c r="M7" s="209">
        <f t="shared" si="0"/>
        <v>3450</v>
      </c>
      <c r="N7" s="209">
        <f t="shared" si="0"/>
        <v>10450</v>
      </c>
      <c r="O7" s="209">
        <f t="shared" si="0"/>
        <v>450</v>
      </c>
      <c r="P7" s="209">
        <f t="shared" si="0"/>
        <v>450</v>
      </c>
      <c r="Q7" s="209">
        <f t="shared" si="0"/>
        <v>450</v>
      </c>
    </row>
    <row r="8" spans="1:17" ht="18.75" x14ac:dyDescent="0.3">
      <c r="A8" s="208" t="s">
        <v>266</v>
      </c>
      <c r="B8" s="209">
        <v>500</v>
      </c>
      <c r="C8" s="209">
        <v>500</v>
      </c>
      <c r="D8" s="209">
        <v>200000</v>
      </c>
      <c r="E8" s="209">
        <v>0</v>
      </c>
      <c r="F8" s="209">
        <v>0</v>
      </c>
      <c r="G8" s="209">
        <v>0</v>
      </c>
      <c r="H8" s="209">
        <v>0</v>
      </c>
      <c r="I8" s="209">
        <v>0</v>
      </c>
      <c r="J8" s="209">
        <v>0</v>
      </c>
      <c r="K8" s="209">
        <v>0</v>
      </c>
      <c r="L8" s="209">
        <v>0</v>
      </c>
      <c r="M8" s="209">
        <v>0</v>
      </c>
      <c r="N8" s="209">
        <v>0</v>
      </c>
      <c r="O8" s="209">
        <v>0</v>
      </c>
      <c r="P8" s="209">
        <v>0</v>
      </c>
      <c r="Q8" s="209">
        <v>0</v>
      </c>
    </row>
    <row r="9" spans="1:17" ht="18.75" x14ac:dyDescent="0.3">
      <c r="A9" s="208" t="s">
        <v>267</v>
      </c>
      <c r="B9" s="209">
        <v>5000</v>
      </c>
      <c r="C9" s="209">
        <v>5000</v>
      </c>
      <c r="D9" s="209">
        <v>5000</v>
      </c>
      <c r="E9" s="209"/>
      <c r="F9" s="209"/>
      <c r="G9" s="209"/>
      <c r="H9" s="209"/>
      <c r="I9" s="209"/>
      <c r="J9" s="209"/>
      <c r="K9" s="209"/>
      <c r="L9" s="209"/>
      <c r="M9" s="209"/>
      <c r="N9" s="209"/>
      <c r="O9" s="209"/>
      <c r="P9" s="209"/>
      <c r="Q9" s="209"/>
    </row>
    <row r="10" spans="1:17" ht="18.75" x14ac:dyDescent="0.3">
      <c r="A10" s="208" t="s">
        <v>268</v>
      </c>
      <c r="B10" s="209">
        <v>0</v>
      </c>
      <c r="C10" s="209">
        <v>0</v>
      </c>
      <c r="D10" s="209">
        <v>0</v>
      </c>
      <c r="E10" s="209">
        <v>0</v>
      </c>
      <c r="F10" s="209">
        <v>0</v>
      </c>
      <c r="G10" s="209">
        <v>0</v>
      </c>
      <c r="H10" s="209">
        <v>0</v>
      </c>
      <c r="I10" s="209">
        <v>0</v>
      </c>
      <c r="J10" s="209">
        <v>0</v>
      </c>
      <c r="K10" s="209">
        <v>0</v>
      </c>
      <c r="L10" s="209">
        <v>0</v>
      </c>
      <c r="M10" s="209">
        <v>0</v>
      </c>
      <c r="N10" s="209">
        <v>0</v>
      </c>
      <c r="O10" s="209">
        <v>0</v>
      </c>
      <c r="P10" s="209">
        <v>0</v>
      </c>
      <c r="Q10" s="209">
        <v>0</v>
      </c>
    </row>
    <row r="11" spans="1:17" x14ac:dyDescent="0.25">
      <c r="A11"/>
      <c r="E11" s="178"/>
      <c r="F11" s="178"/>
      <c r="G11" s="178"/>
      <c r="H11" s="178"/>
      <c r="I11" s="178"/>
      <c r="J11" s="178"/>
      <c r="K11" s="178"/>
    </row>
    <row r="12" spans="1:17" ht="18.75" x14ac:dyDescent="0.3">
      <c r="A12" s="200" t="s">
        <v>269</v>
      </c>
      <c r="E12" s="178"/>
      <c r="F12" s="178"/>
      <c r="G12" s="178"/>
      <c r="H12" s="178"/>
      <c r="I12" s="178"/>
      <c r="J12" s="178"/>
      <c r="K12" s="178"/>
      <c r="N12" s="204"/>
    </row>
    <row r="13" spans="1:17" ht="18.75" x14ac:dyDescent="0.3">
      <c r="A13" s="201" t="s">
        <v>270</v>
      </c>
      <c r="B13" s="210">
        <v>-180000</v>
      </c>
      <c r="C13" s="210">
        <v>-180000</v>
      </c>
      <c r="D13" s="210">
        <v>-180000</v>
      </c>
      <c r="E13" s="210"/>
      <c r="F13" s="210"/>
      <c r="G13" s="210"/>
      <c r="H13" s="210"/>
      <c r="I13" s="210"/>
      <c r="J13" s="210"/>
      <c r="K13" s="210"/>
      <c r="L13" s="210"/>
      <c r="M13" s="210"/>
      <c r="N13" s="210"/>
      <c r="O13" s="210"/>
      <c r="P13" s="210"/>
      <c r="Q13" s="210"/>
    </row>
    <row r="14" spans="1:17" ht="18.75" x14ac:dyDescent="0.3">
      <c r="A14" s="201" t="s">
        <v>271</v>
      </c>
      <c r="B14" s="210">
        <v>-5000</v>
      </c>
      <c r="C14" s="210">
        <v>-5000</v>
      </c>
      <c r="D14" s="210">
        <v>-5000</v>
      </c>
      <c r="E14" s="210"/>
      <c r="F14" s="210"/>
      <c r="G14" s="210"/>
      <c r="H14" s="210"/>
      <c r="I14" s="210"/>
      <c r="J14" s="210"/>
      <c r="K14" s="210"/>
      <c r="L14" s="210"/>
      <c r="M14" s="210"/>
      <c r="N14" s="210"/>
      <c r="O14" s="210"/>
      <c r="P14" s="210"/>
      <c r="Q14" s="210"/>
    </row>
    <row r="15" spans="1:17" ht="18.75" x14ac:dyDescent="0.3">
      <c r="A15" s="201" t="s">
        <v>272</v>
      </c>
      <c r="B15" s="210">
        <v>-350</v>
      </c>
      <c r="C15" s="210">
        <v>-350</v>
      </c>
      <c r="D15" s="210">
        <v>-350</v>
      </c>
      <c r="E15" s="210"/>
      <c r="F15" s="210"/>
      <c r="G15" s="210"/>
      <c r="H15" s="210"/>
      <c r="I15" s="210"/>
      <c r="J15" s="210"/>
      <c r="K15" s="210"/>
      <c r="L15" s="210"/>
      <c r="M15" s="210"/>
      <c r="N15" s="210"/>
      <c r="O15" s="210"/>
      <c r="P15" s="210"/>
      <c r="Q15" s="210"/>
    </row>
    <row r="16" spans="1:17" ht="18.75" x14ac:dyDescent="0.3">
      <c r="A16" s="201" t="s">
        <v>273</v>
      </c>
      <c r="B16" s="210">
        <v>-1000</v>
      </c>
      <c r="C16" s="210">
        <v>-1000</v>
      </c>
      <c r="D16" s="210">
        <v>-1000</v>
      </c>
      <c r="E16" s="210"/>
      <c r="F16" s="210"/>
      <c r="G16" s="210"/>
      <c r="H16" s="210"/>
      <c r="I16" s="210"/>
      <c r="J16" s="210"/>
      <c r="K16" s="210"/>
      <c r="L16" s="210"/>
      <c r="M16" s="210"/>
      <c r="N16" s="210"/>
      <c r="O16" s="210"/>
      <c r="P16" s="210"/>
      <c r="Q16" s="210"/>
    </row>
    <row r="17" spans="1:17" ht="18.75" x14ac:dyDescent="0.3">
      <c r="A17" s="201" t="s">
        <v>274</v>
      </c>
      <c r="B17" s="210">
        <v>-800</v>
      </c>
      <c r="C17" s="210">
        <v>-800</v>
      </c>
      <c r="D17" s="210">
        <v>-800</v>
      </c>
      <c r="E17" s="210"/>
      <c r="F17" s="210"/>
      <c r="G17" s="210"/>
      <c r="H17" s="210"/>
      <c r="I17" s="210"/>
      <c r="J17" s="210"/>
      <c r="K17" s="210"/>
      <c r="L17" s="210"/>
      <c r="M17" s="210"/>
      <c r="N17" s="210"/>
      <c r="O17" s="210"/>
      <c r="P17" s="210"/>
      <c r="Q17" s="210"/>
    </row>
    <row r="18" spans="1:17" ht="18.75" x14ac:dyDescent="0.3">
      <c r="A18" s="201" t="s">
        <v>275</v>
      </c>
      <c r="B18" s="210">
        <v>-500</v>
      </c>
      <c r="C18" s="210">
        <v>-500</v>
      </c>
      <c r="D18" s="210">
        <v>-500</v>
      </c>
      <c r="E18" s="210"/>
      <c r="F18" s="210"/>
      <c r="G18" s="210"/>
      <c r="H18" s="210"/>
      <c r="I18" s="210"/>
      <c r="J18" s="210"/>
      <c r="K18" s="210"/>
      <c r="L18" s="210"/>
      <c r="M18" s="210"/>
      <c r="N18" s="210"/>
      <c r="O18" s="210"/>
      <c r="P18" s="210"/>
      <c r="Q18" s="210"/>
    </row>
    <row r="19" spans="1:17" ht="18.75" x14ac:dyDescent="0.3">
      <c r="A19" s="201" t="s">
        <v>276</v>
      </c>
      <c r="B19" s="210">
        <v>-1500</v>
      </c>
      <c r="C19" s="210">
        <v>-1500</v>
      </c>
      <c r="D19" s="210">
        <v>-1500</v>
      </c>
      <c r="E19" s="210"/>
      <c r="F19" s="210"/>
      <c r="G19" s="210"/>
      <c r="H19" s="210"/>
      <c r="I19" s="210"/>
      <c r="J19" s="210"/>
      <c r="K19" s="210"/>
      <c r="L19" s="210"/>
      <c r="M19" s="210"/>
      <c r="N19" s="210"/>
      <c r="O19" s="210"/>
      <c r="P19" s="210"/>
      <c r="Q19" s="210"/>
    </row>
    <row r="20" spans="1:17" ht="18.75" x14ac:dyDescent="0.3">
      <c r="A20" s="201" t="s">
        <v>277</v>
      </c>
      <c r="B20" s="210">
        <v>-250</v>
      </c>
      <c r="C20" s="210">
        <v>-250</v>
      </c>
      <c r="D20" s="210">
        <v>-250</v>
      </c>
      <c r="E20" s="210"/>
      <c r="F20" s="210"/>
      <c r="G20" s="210"/>
      <c r="H20" s="210"/>
      <c r="I20" s="210"/>
      <c r="J20" s="210"/>
      <c r="K20" s="210"/>
      <c r="L20" s="210"/>
      <c r="M20" s="210"/>
      <c r="N20" s="210"/>
      <c r="O20" s="210"/>
      <c r="P20" s="210"/>
      <c r="Q20" s="210"/>
    </row>
    <row r="21" spans="1:17" ht="18.75" x14ac:dyDescent="0.3">
      <c r="A21" s="201" t="s">
        <v>278</v>
      </c>
      <c r="B21" s="210">
        <v>-1000</v>
      </c>
      <c r="C21" s="210">
        <v>-1000</v>
      </c>
      <c r="D21" s="210">
        <v>-1000</v>
      </c>
      <c r="E21" s="210"/>
      <c r="F21" s="210"/>
      <c r="G21" s="210"/>
      <c r="H21" s="210"/>
      <c r="I21" s="210"/>
      <c r="J21" s="210"/>
      <c r="K21" s="210"/>
      <c r="L21" s="210"/>
      <c r="M21" s="210"/>
      <c r="N21" s="210"/>
      <c r="O21" s="210"/>
      <c r="P21" s="210"/>
      <c r="Q21" s="210"/>
    </row>
    <row r="22" spans="1:17" ht="18.75" x14ac:dyDescent="0.3">
      <c r="A22" s="201" t="s">
        <v>279</v>
      </c>
      <c r="B22" s="210">
        <v>-500</v>
      </c>
      <c r="C22" s="210">
        <v>-500</v>
      </c>
      <c r="D22" s="210">
        <v>-500</v>
      </c>
      <c r="E22" s="210"/>
      <c r="F22" s="210"/>
      <c r="G22" s="210"/>
      <c r="H22" s="210"/>
      <c r="I22" s="210"/>
      <c r="J22" s="210"/>
      <c r="K22" s="210"/>
      <c r="L22" s="210"/>
      <c r="M22" s="210"/>
      <c r="N22" s="210"/>
      <c r="O22" s="210"/>
      <c r="P22" s="210"/>
      <c r="Q22" s="210"/>
    </row>
    <row r="23" spans="1:17" ht="18.75" x14ac:dyDescent="0.3">
      <c r="A23" s="201" t="s">
        <v>280</v>
      </c>
      <c r="B23" s="210">
        <v>0</v>
      </c>
      <c r="C23" s="210">
        <v>0</v>
      </c>
      <c r="D23" s="210">
        <v>0</v>
      </c>
      <c r="E23" s="210"/>
      <c r="F23" s="210"/>
      <c r="G23" s="210"/>
      <c r="H23" s="210"/>
      <c r="I23" s="210"/>
      <c r="J23" s="210"/>
      <c r="K23" s="210"/>
      <c r="L23" s="210"/>
      <c r="M23" s="210"/>
      <c r="N23" s="210"/>
      <c r="O23" s="210"/>
      <c r="P23" s="210"/>
      <c r="Q23" s="210"/>
    </row>
    <row r="24" spans="1:17" ht="18.75" x14ac:dyDescent="0.3">
      <c r="A24" s="201" t="s">
        <v>281</v>
      </c>
      <c r="B24" s="210">
        <v>-180</v>
      </c>
      <c r="C24" s="210">
        <v>-180</v>
      </c>
      <c r="D24" s="210">
        <v>-180</v>
      </c>
      <c r="E24" s="210"/>
      <c r="F24" s="210"/>
      <c r="G24" s="210"/>
      <c r="H24" s="210"/>
      <c r="I24" s="210"/>
      <c r="J24" s="210"/>
      <c r="K24" s="210"/>
      <c r="L24" s="210"/>
      <c r="M24" s="210"/>
      <c r="N24" s="210"/>
      <c r="O24" s="210"/>
      <c r="P24" s="210"/>
      <c r="Q24" s="210"/>
    </row>
    <row r="25" spans="1:17" ht="18.75" x14ac:dyDescent="0.3">
      <c r="A25" s="201" t="s">
        <v>282</v>
      </c>
      <c r="B25" s="210">
        <v>0</v>
      </c>
      <c r="C25" s="210">
        <v>0</v>
      </c>
      <c r="D25" s="210">
        <v>0</v>
      </c>
      <c r="E25" s="210"/>
      <c r="F25" s="210"/>
      <c r="G25" s="210"/>
      <c r="H25" s="210"/>
      <c r="I25" s="210"/>
      <c r="J25" s="210"/>
      <c r="K25" s="210"/>
      <c r="L25" s="210"/>
      <c r="M25" s="210"/>
      <c r="N25" s="210"/>
      <c r="O25" s="210"/>
      <c r="P25" s="210"/>
      <c r="Q25" s="210"/>
    </row>
    <row r="26" spans="1:17" ht="18.75" x14ac:dyDescent="0.3">
      <c r="A26" s="201"/>
      <c r="B26" s="212"/>
      <c r="C26" s="212"/>
      <c r="D26" s="212"/>
      <c r="E26" s="212"/>
      <c r="F26" s="212"/>
      <c r="G26" s="212"/>
      <c r="H26" s="212"/>
      <c r="I26" s="212"/>
      <c r="J26" s="212"/>
      <c r="K26" s="212"/>
    </row>
    <row r="27" spans="1:17" s="202" customFormat="1" ht="18.75" x14ac:dyDescent="0.3">
      <c r="A27" s="211" t="s">
        <v>283</v>
      </c>
      <c r="B27" s="213">
        <v>0</v>
      </c>
      <c r="C27" s="213">
        <v>0</v>
      </c>
      <c r="D27" s="213">
        <v>0</v>
      </c>
      <c r="E27" s="213"/>
      <c r="F27" s="213"/>
      <c r="G27" s="213"/>
      <c r="H27" s="213"/>
      <c r="I27" s="213"/>
      <c r="J27" s="213"/>
      <c r="K27" s="213"/>
      <c r="L27" s="213"/>
      <c r="M27" s="213"/>
      <c r="N27" s="213"/>
      <c r="O27" s="213"/>
      <c r="P27" s="213"/>
      <c r="Q27" s="213"/>
    </row>
    <row r="28" spans="1:17" ht="19.5" thickBot="1" x14ac:dyDescent="0.35">
      <c r="A28" s="201"/>
      <c r="B28" s="212"/>
    </row>
    <row r="29" spans="1:17" ht="19.5" thickBot="1" x14ac:dyDescent="0.35">
      <c r="A29" s="200" t="s">
        <v>284</v>
      </c>
      <c r="B29" s="214">
        <f>SUM(B7:B27)</f>
        <v>-115580</v>
      </c>
      <c r="C29" s="214">
        <f t="shared" ref="C29:Q29" si="1">SUM(C7:C27)</f>
        <v>-115580</v>
      </c>
      <c r="D29" s="214">
        <f t="shared" si="1"/>
        <v>23920</v>
      </c>
      <c r="E29" s="214">
        <f t="shared" si="1"/>
        <v>4200</v>
      </c>
      <c r="F29" s="214">
        <f t="shared" si="1"/>
        <v>0</v>
      </c>
      <c r="G29" s="214">
        <f t="shared" si="1"/>
        <v>7000</v>
      </c>
      <c r="H29" s="214">
        <f t="shared" si="1"/>
        <v>12000</v>
      </c>
      <c r="I29" s="214">
        <f t="shared" si="1"/>
        <v>12000</v>
      </c>
      <c r="J29" s="214">
        <f t="shared" si="1"/>
        <v>10450</v>
      </c>
      <c r="K29" s="214">
        <f t="shared" si="1"/>
        <v>10450</v>
      </c>
      <c r="L29" s="214">
        <f t="shared" si="1"/>
        <v>3450</v>
      </c>
      <c r="M29" s="214">
        <f t="shared" si="1"/>
        <v>3450</v>
      </c>
      <c r="N29" s="214">
        <f t="shared" si="1"/>
        <v>10450</v>
      </c>
      <c r="O29" s="214">
        <f t="shared" si="1"/>
        <v>450</v>
      </c>
      <c r="P29" s="214">
        <f t="shared" si="1"/>
        <v>450</v>
      </c>
      <c r="Q29" s="214">
        <f t="shared" si="1"/>
        <v>450</v>
      </c>
    </row>
    <row r="30" spans="1:17" ht="18.75" x14ac:dyDescent="0.3">
      <c r="A30" s="201"/>
      <c r="B30" s="212"/>
    </row>
    <row r="31" spans="1:17" ht="18.75" x14ac:dyDescent="0.3">
      <c r="A31" s="211" t="s">
        <v>285</v>
      </c>
      <c r="B31" s="212"/>
    </row>
    <row r="32" spans="1:17" ht="18.75" x14ac:dyDescent="0.3">
      <c r="A32" s="215" t="s">
        <v>286</v>
      </c>
      <c r="B32" s="210">
        <v>0</v>
      </c>
      <c r="C32" s="210">
        <v>0</v>
      </c>
      <c r="D32" s="210">
        <v>0</v>
      </c>
      <c r="E32" s="210"/>
      <c r="F32" s="210"/>
      <c r="G32" s="210"/>
      <c r="H32" s="210"/>
      <c r="I32" s="210"/>
      <c r="J32" s="210"/>
      <c r="K32" s="210"/>
      <c r="L32" s="210"/>
      <c r="M32" s="210"/>
      <c r="N32" s="210"/>
      <c r="O32" s="210"/>
      <c r="P32" s="210"/>
      <c r="Q32" s="210"/>
    </row>
    <row r="33" spans="1:18" ht="37.5" x14ac:dyDescent="0.3">
      <c r="A33" s="216" t="s">
        <v>287</v>
      </c>
      <c r="B33" s="210"/>
      <c r="C33" s="210"/>
      <c r="D33" s="210"/>
      <c r="E33" s="210"/>
      <c r="F33" s="210"/>
      <c r="G33" s="210"/>
      <c r="H33" s="210"/>
      <c r="I33" s="210"/>
      <c r="J33" s="210"/>
      <c r="K33" s="210"/>
      <c r="L33" s="210"/>
      <c r="M33" s="210"/>
      <c r="N33" s="210"/>
      <c r="O33" s="210"/>
      <c r="P33" s="210"/>
      <c r="Q33" s="210"/>
    </row>
    <row r="34" spans="1:18" ht="37.5" x14ac:dyDescent="0.3">
      <c r="A34" s="201" t="s">
        <v>288</v>
      </c>
      <c r="B34" s="210">
        <v>-1178.5899999999999</v>
      </c>
      <c r="C34" s="210">
        <f>B34</f>
        <v>-1178.5899999999999</v>
      </c>
      <c r="D34" s="210">
        <f t="shared" ref="D34:J34" si="2">C34</f>
        <v>-1178.5899999999999</v>
      </c>
      <c r="E34" s="210">
        <f t="shared" si="2"/>
        <v>-1178.5899999999999</v>
      </c>
      <c r="F34" s="210">
        <f t="shared" si="2"/>
        <v>-1178.5899999999999</v>
      </c>
      <c r="G34" s="210">
        <f t="shared" si="2"/>
        <v>-1178.5899999999999</v>
      </c>
      <c r="H34" s="210">
        <f t="shared" si="2"/>
        <v>-1178.5899999999999</v>
      </c>
      <c r="I34" s="210">
        <f t="shared" si="2"/>
        <v>-1178.5899999999999</v>
      </c>
      <c r="J34" s="210">
        <f t="shared" si="2"/>
        <v>-1178.5899999999999</v>
      </c>
      <c r="K34" s="210">
        <f>J34</f>
        <v>-1178.5899999999999</v>
      </c>
      <c r="L34" s="210">
        <f t="shared" ref="L34:Q34" si="3">K34</f>
        <v>-1178.5899999999999</v>
      </c>
      <c r="M34" s="210">
        <f t="shared" si="3"/>
        <v>-1178.5899999999999</v>
      </c>
      <c r="N34" s="210">
        <f t="shared" si="3"/>
        <v>-1178.5899999999999</v>
      </c>
      <c r="O34" s="210">
        <f t="shared" si="3"/>
        <v>-1178.5899999999999</v>
      </c>
      <c r="P34" s="210">
        <f t="shared" si="3"/>
        <v>-1178.5899999999999</v>
      </c>
      <c r="Q34" s="210">
        <f t="shared" si="3"/>
        <v>-1178.5899999999999</v>
      </c>
      <c r="R34" s="217" t="s">
        <v>289</v>
      </c>
    </row>
    <row r="35" spans="1:18" ht="18.75" x14ac:dyDescent="0.3">
      <c r="A35" s="201" t="s">
        <v>290</v>
      </c>
      <c r="B35" s="210">
        <f t="shared" ref="B35:J35" si="4">B34*0.8</f>
        <v>-942.87199999999996</v>
      </c>
      <c r="C35" s="210">
        <f t="shared" si="4"/>
        <v>-942.87199999999996</v>
      </c>
      <c r="D35" s="210">
        <f t="shared" si="4"/>
        <v>-942.87199999999996</v>
      </c>
      <c r="E35" s="210">
        <f t="shared" si="4"/>
        <v>-942.87199999999996</v>
      </c>
      <c r="F35" s="210">
        <f t="shared" si="4"/>
        <v>-942.87199999999996</v>
      </c>
      <c r="G35" s="210">
        <f t="shared" si="4"/>
        <v>-942.87199999999996</v>
      </c>
      <c r="H35" s="210">
        <f t="shared" si="4"/>
        <v>-942.87199999999996</v>
      </c>
      <c r="I35" s="210">
        <f t="shared" si="4"/>
        <v>-942.87199999999996</v>
      </c>
      <c r="J35" s="210">
        <f t="shared" si="4"/>
        <v>-942.87199999999996</v>
      </c>
      <c r="K35" s="210">
        <f>K34*0.8</f>
        <v>-942.87199999999996</v>
      </c>
      <c r="L35" s="210">
        <f t="shared" ref="L35:Q35" si="5">L34*0.8</f>
        <v>-942.87199999999996</v>
      </c>
      <c r="M35" s="210">
        <f t="shared" si="5"/>
        <v>-942.87199999999996</v>
      </c>
      <c r="N35" s="210">
        <f t="shared" si="5"/>
        <v>-942.87199999999996</v>
      </c>
      <c r="O35" s="210">
        <f t="shared" si="5"/>
        <v>-942.87199999999996</v>
      </c>
      <c r="P35" s="210">
        <f t="shared" si="5"/>
        <v>-942.87199999999996</v>
      </c>
      <c r="Q35" s="210">
        <f t="shared" si="5"/>
        <v>-942.87199999999996</v>
      </c>
    </row>
    <row r="36" spans="1:18" ht="18.75" x14ac:dyDescent="0.3">
      <c r="A36" s="201" t="s">
        <v>291</v>
      </c>
      <c r="B36" s="210">
        <v>-1000</v>
      </c>
      <c r="C36" s="210">
        <v>-1000</v>
      </c>
      <c r="D36" s="210">
        <v>-1000</v>
      </c>
      <c r="E36" s="210"/>
      <c r="F36" s="210"/>
      <c r="G36" s="210"/>
      <c r="H36" s="210"/>
      <c r="I36" s="210"/>
      <c r="J36" s="210"/>
      <c r="K36" s="210"/>
      <c r="L36" s="210"/>
      <c r="M36" s="210"/>
      <c r="N36" s="210"/>
      <c r="O36" s="210"/>
      <c r="P36" s="210"/>
      <c r="Q36" s="210"/>
    </row>
    <row r="37" spans="1:18" ht="18.75" x14ac:dyDescent="0.3">
      <c r="A37" s="201" t="s">
        <v>292</v>
      </c>
      <c r="B37" s="210"/>
      <c r="C37" s="210"/>
      <c r="D37" s="210"/>
      <c r="E37" s="210"/>
      <c r="F37" s="210"/>
      <c r="G37" s="210"/>
      <c r="H37" s="210"/>
      <c r="I37" s="210"/>
      <c r="J37" s="210"/>
      <c r="K37" s="210">
        <v>-3500</v>
      </c>
      <c r="L37" s="210"/>
      <c r="M37" s="210"/>
      <c r="N37" s="210"/>
      <c r="O37" s="210"/>
      <c r="P37" s="210"/>
      <c r="Q37" s="210"/>
    </row>
    <row r="38" spans="1:18" ht="18.75" x14ac:dyDescent="0.3">
      <c r="A38" s="201" t="s">
        <v>293</v>
      </c>
      <c r="B38" s="210"/>
      <c r="C38" s="210"/>
      <c r="D38" s="210"/>
      <c r="E38" s="210"/>
      <c r="F38" s="210"/>
      <c r="G38" s="210"/>
      <c r="H38" s="210"/>
      <c r="I38" s="210"/>
      <c r="J38" s="210"/>
      <c r="K38" s="210"/>
      <c r="L38" s="210"/>
      <c r="M38" s="210"/>
      <c r="N38" s="210"/>
      <c r="O38" s="210"/>
      <c r="P38" s="210"/>
      <c r="Q38" s="210"/>
    </row>
    <row r="39" spans="1:18" ht="18.75" x14ac:dyDescent="0.3">
      <c r="A39" s="201" t="s">
        <v>294</v>
      </c>
      <c r="B39" s="210"/>
      <c r="C39" s="210"/>
      <c r="D39" s="210"/>
      <c r="E39" s="210"/>
      <c r="F39" s="210"/>
      <c r="G39" s="210"/>
      <c r="H39" s="210"/>
      <c r="I39" s="210"/>
      <c r="J39" s="210"/>
      <c r="K39" s="210"/>
      <c r="L39" s="210"/>
      <c r="M39" s="210"/>
      <c r="N39" s="210"/>
      <c r="O39" s="210"/>
      <c r="P39" s="210"/>
      <c r="Q39" s="210"/>
    </row>
    <row r="40" spans="1:18" ht="18.75" x14ac:dyDescent="0.3">
      <c r="A40" s="201" t="s">
        <v>295</v>
      </c>
      <c r="B40" s="210"/>
      <c r="C40" s="210"/>
      <c r="D40" s="210"/>
      <c r="E40" s="210"/>
      <c r="F40" s="210"/>
      <c r="G40" s="210"/>
      <c r="H40" s="210"/>
      <c r="I40" s="210"/>
      <c r="J40" s="210"/>
      <c r="K40" s="210"/>
      <c r="L40" s="210"/>
      <c r="M40" s="210"/>
      <c r="N40" s="210"/>
      <c r="O40" s="210"/>
      <c r="P40" s="210"/>
      <c r="Q40" s="210"/>
    </row>
    <row r="41" spans="1:18" ht="18.75" x14ac:dyDescent="0.3">
      <c r="A41" s="201" t="s">
        <v>296</v>
      </c>
      <c r="B41" s="210">
        <v>-1</v>
      </c>
      <c r="C41" s="210">
        <v>-1</v>
      </c>
      <c r="D41" s="210">
        <v>-1</v>
      </c>
      <c r="E41" s="210"/>
      <c r="F41" s="210"/>
      <c r="G41" s="210"/>
      <c r="H41" s="210"/>
      <c r="I41" s="210"/>
      <c r="J41" s="210"/>
      <c r="K41" s="210"/>
      <c r="L41" s="210"/>
      <c r="M41" s="210"/>
      <c r="N41" s="210"/>
      <c r="O41" s="210"/>
      <c r="P41" s="210"/>
      <c r="Q41" s="210"/>
    </row>
    <row r="42" spans="1:18" ht="18.75" x14ac:dyDescent="0.3">
      <c r="A42" s="201" t="s">
        <v>297</v>
      </c>
      <c r="B42" s="210">
        <v>-1</v>
      </c>
      <c r="C42" s="210">
        <v>-1</v>
      </c>
      <c r="D42" s="210">
        <v>-1</v>
      </c>
      <c r="E42" s="210"/>
      <c r="F42" s="210"/>
      <c r="G42" s="210"/>
      <c r="H42" s="210"/>
      <c r="I42" s="210"/>
      <c r="J42" s="210"/>
      <c r="K42" s="210"/>
      <c r="L42" s="210"/>
      <c r="M42" s="210"/>
      <c r="N42" s="210"/>
      <c r="O42" s="210"/>
      <c r="P42" s="210"/>
      <c r="Q42" s="210"/>
    </row>
    <row r="43" spans="1:18" ht="18.75" x14ac:dyDescent="0.3">
      <c r="A43" s="201" t="s">
        <v>298</v>
      </c>
      <c r="B43" s="218">
        <v>-1</v>
      </c>
      <c r="C43" s="218">
        <v>-1</v>
      </c>
      <c r="D43" s="218">
        <v>-1</v>
      </c>
      <c r="E43" s="210"/>
      <c r="F43" s="210"/>
      <c r="G43" s="210"/>
      <c r="H43" s="210"/>
      <c r="I43" s="210"/>
      <c r="J43" s="210"/>
      <c r="K43" s="210"/>
      <c r="L43" s="210"/>
      <c r="M43" s="210"/>
      <c r="N43" s="210"/>
      <c r="O43" s="210"/>
      <c r="P43" s="210"/>
      <c r="Q43" s="210"/>
    </row>
    <row r="44" spans="1:18" ht="18.75" x14ac:dyDescent="0.3">
      <c r="A44" s="208" t="s">
        <v>299</v>
      </c>
      <c r="B44" s="209">
        <v>0</v>
      </c>
      <c r="C44" s="209">
        <v>0</v>
      </c>
      <c r="D44" s="209">
        <v>0</v>
      </c>
      <c r="E44" s="209">
        <v>0</v>
      </c>
      <c r="F44" s="209">
        <v>0</v>
      </c>
      <c r="G44" s="209">
        <v>0</v>
      </c>
      <c r="H44" s="209">
        <v>0</v>
      </c>
      <c r="I44" s="209">
        <v>0</v>
      </c>
      <c r="J44" s="209">
        <v>0</v>
      </c>
      <c r="K44" s="209">
        <v>0</v>
      </c>
      <c r="L44" s="209">
        <v>0</v>
      </c>
      <c r="M44" s="209">
        <v>0</v>
      </c>
      <c r="N44" s="209">
        <v>0</v>
      </c>
      <c r="O44" s="209">
        <v>0</v>
      </c>
      <c r="P44" s="209">
        <v>0</v>
      </c>
      <c r="Q44" s="209">
        <v>0</v>
      </c>
    </row>
    <row r="45" spans="1:18" x14ac:dyDescent="0.25">
      <c r="A45" s="219" t="s">
        <v>300</v>
      </c>
      <c r="B45"/>
    </row>
    <row r="46" spans="1:18" ht="18.75" x14ac:dyDescent="0.3">
      <c r="A46" s="201"/>
      <c r="B46" s="212"/>
    </row>
    <row r="47" spans="1:18" ht="18.75" x14ac:dyDescent="0.3">
      <c r="A47" s="201"/>
      <c r="B47" s="207">
        <v>43525</v>
      </c>
      <c r="C47" s="207">
        <v>43556</v>
      </c>
      <c r="D47" s="207">
        <v>43586</v>
      </c>
      <c r="E47" s="207">
        <v>43617</v>
      </c>
      <c r="F47" s="207">
        <v>43647</v>
      </c>
      <c r="G47" s="207">
        <v>43678</v>
      </c>
      <c r="H47" s="207">
        <v>43709</v>
      </c>
      <c r="I47" s="207">
        <v>43739</v>
      </c>
      <c r="J47" s="207">
        <v>43770</v>
      </c>
      <c r="K47" s="207">
        <v>43800</v>
      </c>
      <c r="L47" s="207">
        <v>43831</v>
      </c>
      <c r="M47" s="207">
        <v>43862</v>
      </c>
      <c r="N47" s="207">
        <v>43891</v>
      </c>
      <c r="O47" s="207">
        <v>43922</v>
      </c>
      <c r="P47" s="207">
        <v>43952</v>
      </c>
      <c r="Q47" s="207">
        <v>43983</v>
      </c>
    </row>
    <row r="48" spans="1:18" ht="18.75" x14ac:dyDescent="0.3">
      <c r="A48" s="201" t="s">
        <v>301</v>
      </c>
      <c r="B48" s="210">
        <v>300000</v>
      </c>
      <c r="C48" s="210">
        <v>200000</v>
      </c>
      <c r="D48" s="210">
        <v>400000</v>
      </c>
      <c r="E48" s="210">
        <v>58000</v>
      </c>
      <c r="F48" s="210">
        <v>97000</v>
      </c>
      <c r="G48" s="210">
        <v>115000</v>
      </c>
      <c r="H48" s="210">
        <v>88000</v>
      </c>
      <c r="I48" s="210">
        <v>83000</v>
      </c>
      <c r="J48" s="210">
        <v>97000</v>
      </c>
      <c r="K48" s="210">
        <v>185000</v>
      </c>
      <c r="L48" s="210">
        <v>185001</v>
      </c>
      <c r="M48" s="210">
        <v>185002</v>
      </c>
      <c r="N48" s="210">
        <v>185003</v>
      </c>
      <c r="O48" s="210">
        <v>185004</v>
      </c>
      <c r="P48" s="210">
        <v>185005</v>
      </c>
      <c r="Q48" s="210">
        <v>185006</v>
      </c>
    </row>
    <row r="49" spans="1:18" ht="75.75" x14ac:dyDescent="0.3">
      <c r="A49" s="220" t="s">
        <v>302</v>
      </c>
      <c r="B49" s="221">
        <f t="shared" ref="B49:Q49" si="6">-(B48-B4)/B48</f>
        <v>-0.5</v>
      </c>
      <c r="C49" s="221">
        <f t="shared" si="6"/>
        <v>-0.25</v>
      </c>
      <c r="D49" s="221">
        <f t="shared" si="6"/>
        <v>-0.875</v>
      </c>
      <c r="E49" s="221">
        <f t="shared" si="6"/>
        <v>-0.7931034482758621</v>
      </c>
      <c r="F49" s="221">
        <f t="shared" si="6"/>
        <v>-0.87628865979381443</v>
      </c>
      <c r="G49" s="221">
        <f t="shared" si="6"/>
        <v>-0.89565217391304353</v>
      </c>
      <c r="H49" s="221">
        <f t="shared" si="6"/>
        <v>-0.86363636363636365</v>
      </c>
      <c r="I49" s="221">
        <f t="shared" si="6"/>
        <v>-0.85542168674698793</v>
      </c>
      <c r="J49" s="221">
        <f t="shared" si="6"/>
        <v>-0.89226804123711345</v>
      </c>
      <c r="K49" s="221">
        <f t="shared" si="6"/>
        <v>-0.94351351351351354</v>
      </c>
      <c r="L49" s="221">
        <f t="shared" si="6"/>
        <v>-0.98135145215431263</v>
      </c>
      <c r="M49" s="221">
        <f t="shared" si="6"/>
        <v>-0.98135155295618426</v>
      </c>
      <c r="N49" s="221">
        <f t="shared" si="6"/>
        <v>-0.94351442949573794</v>
      </c>
      <c r="O49" s="221">
        <f t="shared" si="6"/>
        <v>-0.99756762015956413</v>
      </c>
      <c r="P49" s="221">
        <f t="shared" si="6"/>
        <v>-0.99756763330720788</v>
      </c>
      <c r="Q49" s="221">
        <f t="shared" si="6"/>
        <v>-0.99756764645470952</v>
      </c>
    </row>
    <row r="50" spans="1:18" ht="18.75" x14ac:dyDescent="0.3">
      <c r="A50" s="222"/>
      <c r="B50" s="223"/>
      <c r="C50" s="223"/>
      <c r="D50" s="223"/>
      <c r="E50" s="223"/>
      <c r="F50" s="223"/>
      <c r="G50" s="223"/>
      <c r="H50" s="223"/>
      <c r="I50" s="223"/>
      <c r="J50" s="223"/>
      <c r="K50" s="223"/>
    </row>
    <row r="51" spans="1:18" ht="18.75" x14ac:dyDescent="0.3">
      <c r="A51" s="200" t="str">
        <f>IF(B51&lt;0,"Verlust iSd. der Fixkostenhilfe / ungedeckte Fixkosten","Gewinn keine Förderberechtigung")</f>
        <v>Verlust iSd. der Fixkostenhilfe / ungedeckte Fixkosten</v>
      </c>
      <c r="B51" s="224">
        <f t="shared" ref="B51:Q51" si="7">MIN(SUM(B29:B45),0)</f>
        <v>-118704.462</v>
      </c>
      <c r="C51" s="224">
        <f t="shared" si="7"/>
        <v>-118704.462</v>
      </c>
      <c r="D51" s="224">
        <f t="shared" si="7"/>
        <v>0</v>
      </c>
      <c r="E51" s="224">
        <f t="shared" si="7"/>
        <v>0</v>
      </c>
      <c r="F51" s="224">
        <f t="shared" si="7"/>
        <v>-2121.462</v>
      </c>
      <c r="G51" s="224">
        <f t="shared" si="7"/>
        <v>0</v>
      </c>
      <c r="H51" s="224">
        <f t="shared" si="7"/>
        <v>0</v>
      </c>
      <c r="I51" s="224">
        <f t="shared" si="7"/>
        <v>0</v>
      </c>
      <c r="J51" s="224">
        <f t="shared" si="7"/>
        <v>0</v>
      </c>
      <c r="K51" s="224">
        <f t="shared" si="7"/>
        <v>0</v>
      </c>
      <c r="L51" s="224">
        <f t="shared" si="7"/>
        <v>0</v>
      </c>
      <c r="M51" s="224">
        <f t="shared" si="7"/>
        <v>0</v>
      </c>
      <c r="N51" s="224">
        <f t="shared" si="7"/>
        <v>0</v>
      </c>
      <c r="O51" s="224">
        <f t="shared" si="7"/>
        <v>-1671.462</v>
      </c>
      <c r="P51" s="224">
        <f t="shared" si="7"/>
        <v>-1671.462</v>
      </c>
      <c r="Q51" s="224">
        <f t="shared" si="7"/>
        <v>-1671.462</v>
      </c>
    </row>
    <row r="52" spans="1:18" ht="19.5" thickBot="1" x14ac:dyDescent="0.35">
      <c r="A52" s="200"/>
      <c r="B52" s="224"/>
      <c r="C52" s="224"/>
      <c r="D52" s="224"/>
      <c r="E52" s="224"/>
      <c r="F52" s="224"/>
      <c r="G52" s="224"/>
      <c r="H52" s="224"/>
      <c r="I52" s="224"/>
      <c r="J52" s="224"/>
      <c r="K52" s="224"/>
      <c r="L52" s="224"/>
      <c r="M52" s="224"/>
      <c r="N52" s="224"/>
      <c r="O52" s="224"/>
      <c r="P52" s="224"/>
      <c r="Q52" s="224"/>
    </row>
    <row r="53" spans="1:18" ht="19.5" thickBot="1" x14ac:dyDescent="0.35">
      <c r="A53" s="200" t="s">
        <v>303</v>
      </c>
      <c r="B53" s="224">
        <f>IF(B49&lt;-0.299999999999999,B51,0)</f>
        <v>-118704.462</v>
      </c>
      <c r="C53" s="224">
        <f t="shared" ref="C53:Q53" si="8">IF(C49&lt;-0.299999999999999,C51,0)</f>
        <v>0</v>
      </c>
      <c r="D53" s="224">
        <f t="shared" si="8"/>
        <v>0</v>
      </c>
      <c r="E53" s="224">
        <f t="shared" si="8"/>
        <v>0</v>
      </c>
      <c r="F53" s="224">
        <f t="shared" si="8"/>
        <v>-2121.462</v>
      </c>
      <c r="G53" s="224">
        <f t="shared" si="8"/>
        <v>0</v>
      </c>
      <c r="H53" s="224">
        <f t="shared" si="8"/>
        <v>0</v>
      </c>
      <c r="I53" s="224">
        <f t="shared" si="8"/>
        <v>0</v>
      </c>
      <c r="J53" s="225">
        <f t="shared" si="8"/>
        <v>0</v>
      </c>
      <c r="K53" s="226">
        <f t="shared" si="8"/>
        <v>0</v>
      </c>
      <c r="L53" s="227">
        <f t="shared" si="8"/>
        <v>0</v>
      </c>
      <c r="M53" s="227">
        <f t="shared" si="8"/>
        <v>0</v>
      </c>
      <c r="N53" s="227">
        <f t="shared" si="8"/>
        <v>0</v>
      </c>
      <c r="O53" s="227">
        <f t="shared" si="8"/>
        <v>-1671.462</v>
      </c>
      <c r="P53" s="227">
        <f t="shared" si="8"/>
        <v>-1671.462</v>
      </c>
      <c r="Q53" s="228">
        <f t="shared" si="8"/>
        <v>-1671.462</v>
      </c>
    </row>
    <row r="54" spans="1:18" ht="18.75" x14ac:dyDescent="0.3">
      <c r="A54" s="201"/>
      <c r="B54" s="212"/>
      <c r="O54" s="203"/>
      <c r="P54" s="203"/>
      <c r="Q54" s="203"/>
      <c r="R54" s="229">
        <v>0.9</v>
      </c>
    </row>
    <row r="55" spans="1:18" ht="18.75" x14ac:dyDescent="0.3">
      <c r="A55" s="200" t="s">
        <v>304</v>
      </c>
      <c r="B55" s="224">
        <f>IF(B53&lt;0,B53*0.9,0)</f>
        <v>-106834.01580000001</v>
      </c>
      <c r="C55" s="224">
        <f t="shared" ref="C55:Q55" si="9">IF(C53&lt;0,C53*0.9,0)</f>
        <v>0</v>
      </c>
      <c r="D55" s="224">
        <f t="shared" si="9"/>
        <v>0</v>
      </c>
      <c r="E55" s="224">
        <f t="shared" si="9"/>
        <v>0</v>
      </c>
      <c r="F55" s="224">
        <f t="shared" si="9"/>
        <v>-1909.3158000000001</v>
      </c>
      <c r="G55" s="224">
        <f t="shared" si="9"/>
        <v>0</v>
      </c>
      <c r="H55" s="224">
        <f t="shared" si="9"/>
        <v>0</v>
      </c>
      <c r="I55" s="224">
        <f t="shared" si="9"/>
        <v>0</v>
      </c>
      <c r="J55" s="224">
        <f t="shared" si="9"/>
        <v>0</v>
      </c>
      <c r="K55" s="224">
        <f t="shared" si="9"/>
        <v>0</v>
      </c>
      <c r="L55" s="224">
        <f t="shared" si="9"/>
        <v>0</v>
      </c>
      <c r="M55" s="224">
        <f t="shared" si="9"/>
        <v>0</v>
      </c>
      <c r="N55" s="224">
        <f t="shared" si="9"/>
        <v>0</v>
      </c>
      <c r="O55" s="224">
        <f t="shared" si="9"/>
        <v>-1504.3158000000001</v>
      </c>
      <c r="P55" s="224">
        <f t="shared" si="9"/>
        <v>-1504.3158000000001</v>
      </c>
      <c r="Q55" s="224">
        <f t="shared" si="9"/>
        <v>-1504.3158000000001</v>
      </c>
      <c r="R55" s="199"/>
    </row>
    <row r="56" spans="1:18" ht="18.75" x14ac:dyDescent="0.3">
      <c r="A56" s="200"/>
      <c r="B56" s="224"/>
      <c r="O56" s="203"/>
      <c r="P56" s="203"/>
      <c r="Q56" s="203"/>
      <c r="R56" s="229">
        <v>0.7</v>
      </c>
    </row>
    <row r="57" spans="1:18" ht="18.75" x14ac:dyDescent="0.3">
      <c r="A57" s="200" t="s">
        <v>305</v>
      </c>
      <c r="B57" s="224">
        <f>IF(B53&lt;0,B53*0.7,0)</f>
        <v>-83093.123399999997</v>
      </c>
      <c r="C57" s="224">
        <f t="shared" ref="C57:Q57" si="10">IF(C53&lt;0,C53*0.7,0)</f>
        <v>0</v>
      </c>
      <c r="D57" s="224">
        <f t="shared" si="10"/>
        <v>0</v>
      </c>
      <c r="E57" s="224">
        <f t="shared" si="10"/>
        <v>0</v>
      </c>
      <c r="F57" s="224">
        <f t="shared" si="10"/>
        <v>-1485.0233999999998</v>
      </c>
      <c r="G57" s="224">
        <f t="shared" si="10"/>
        <v>0</v>
      </c>
      <c r="H57" s="224">
        <f t="shared" si="10"/>
        <v>0</v>
      </c>
      <c r="I57" s="224">
        <f t="shared" si="10"/>
        <v>0</v>
      </c>
      <c r="J57" s="224">
        <f t="shared" si="10"/>
        <v>0</v>
      </c>
      <c r="K57" s="224">
        <f t="shared" si="10"/>
        <v>0</v>
      </c>
      <c r="L57" s="224">
        <f t="shared" si="10"/>
        <v>0</v>
      </c>
      <c r="M57" s="224">
        <f t="shared" si="10"/>
        <v>0</v>
      </c>
      <c r="N57" s="224">
        <f t="shared" si="10"/>
        <v>0</v>
      </c>
      <c r="O57" s="224">
        <f t="shared" si="10"/>
        <v>-1170.0233999999998</v>
      </c>
      <c r="P57" s="224">
        <f t="shared" si="10"/>
        <v>-1170.0233999999998</v>
      </c>
      <c r="Q57" s="224">
        <f t="shared" si="10"/>
        <v>-1170.0233999999998</v>
      </c>
    </row>
    <row r="58" spans="1:18" ht="18.75" x14ac:dyDescent="0.3">
      <c r="A58" s="201"/>
      <c r="B58" s="230"/>
    </row>
    <row r="59" spans="1:18" ht="18.75" x14ac:dyDescent="0.3">
      <c r="A59" s="201"/>
      <c r="B59" s="230"/>
    </row>
  </sheetData>
  <mergeCells count="1">
    <mergeCell ref="C1:D1"/>
  </mergeCells>
  <conditionalFormatting sqref="B49:Q49">
    <cfRule type="cellIs" dxfId="2" priority="1" operator="greaterThan">
      <formula>-0.3</formula>
    </cfRule>
    <cfRule type="cellIs" dxfId="1" priority="2" operator="lessThan">
      <formula>-0.299999999999999</formula>
    </cfRule>
    <cfRule type="cellIs" dxfId="0" priority="3" operator="lessThan">
      <formula>-0.299999999999999</formula>
    </cfRule>
  </conditionalFormatting>
  <dataValidations count="1">
    <dataValidation type="list" allowBlank="1" showInputMessage="1" showErrorMessage="1" sqref="C1:C2" xr:uid="{E8BF9FB4-3E29-4D95-B6E7-C23E24D51D64}">
      <formula1>$N$1:$N$4</formula1>
    </dataValidation>
  </dataValidations>
  <hyperlinks>
    <hyperlink ref="R34" r:id="rId1" xr:uid="{58C79A61-192C-488D-9907-CD0C6305AA4D}"/>
  </hyperlinks>
  <pageMargins left="0.7" right="0.7" top="0.78740157499999996" bottom="0.78740157499999996" header="0.3" footer="0.3"/>
  <pageSetup paperSize="9" orientation="portrait" horizontalDpi="0" verticalDpi="0"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B10AE-12E7-403E-AF4C-F18783F87F7E}">
  <dimension ref="A1:H7"/>
  <sheetViews>
    <sheetView workbookViewId="0">
      <selection activeCell="A8" sqref="A8"/>
    </sheetView>
  </sheetViews>
  <sheetFormatPr baseColWidth="10" defaultRowHeight="15" x14ac:dyDescent="0.25"/>
  <sheetData>
    <row r="1" spans="1:8" x14ac:dyDescent="0.25">
      <c r="A1" s="183" t="s">
        <v>243</v>
      </c>
    </row>
    <row r="2" spans="1:8" x14ac:dyDescent="0.25">
      <c r="A2" s="183" t="s">
        <v>247</v>
      </c>
    </row>
    <row r="3" spans="1:8" x14ac:dyDescent="0.25">
      <c r="A3" s="183"/>
    </row>
    <row r="4" spans="1:8" x14ac:dyDescent="0.25">
      <c r="A4" t="s">
        <v>368</v>
      </c>
      <c r="G4" s="183"/>
      <c r="H4" s="183"/>
    </row>
    <row r="5" spans="1:8" x14ac:dyDescent="0.25">
      <c r="A5" s="183" t="s">
        <v>369</v>
      </c>
    </row>
    <row r="7" spans="1:8" x14ac:dyDescent="0.25">
      <c r="A7" s="183" t="s">
        <v>370</v>
      </c>
    </row>
  </sheetData>
  <sheetProtection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090cd8a6-c959-4956-99aa-e0749ad7a5a0</BSO999929>
</file>

<file path=customXml/itemProps1.xml><?xml version="1.0" encoding="utf-8"?>
<ds:datastoreItem xmlns:ds="http://schemas.openxmlformats.org/officeDocument/2006/customXml" ds:itemID="{1AA7A9CB-D297-47E7-A131-2CD39838AAAD}">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Anspruchsvoraussetzung</vt:lpstr>
      <vt:lpstr>Kalkulation Ü III</vt:lpstr>
      <vt:lpstr>Ausfallkosten Veranstaltungen</vt:lpstr>
      <vt:lpstr>Ausfallkosten Reisewirtschaft</vt:lpstr>
      <vt:lpstr>Kosten Pyrotechnikbranche</vt:lpstr>
      <vt:lpstr>Ermittlung Teilwert-AfA Handel</vt:lpstr>
      <vt:lpstr>Neustarthilfe</vt:lpstr>
      <vt:lpstr>VerlustermittlungFixkostenhilfe</vt:lpstr>
      <vt:lpstr>Version</vt:lpstr>
      <vt:lpstr>Nachweis Sep bis Dez</vt:lpstr>
      <vt:lpstr>Berechnung TZ 4.16 Nachweis</vt:lpstr>
      <vt:lpstr>Abrechnung Förderbeihilfe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Jörg Harms;Lukas Hendrick</dc:creator>
  <cp:lastModifiedBy>Ina Buffleb</cp:lastModifiedBy>
  <cp:lastPrinted>2021-01-17T20:08:02Z</cp:lastPrinted>
  <dcterms:created xsi:type="dcterms:W3CDTF">2020-06-22T07:40:27Z</dcterms:created>
  <dcterms:modified xsi:type="dcterms:W3CDTF">2021-02-17T08:01:22Z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V-DMS_DOKU_NR">
    <vt:lpwstr>127950</vt:lpwstr>
  </property>
  <property fmtid="{D5CDD505-2E9C-101B-9397-08002B2CF9AE}" pid="3" name="DATEV-DMS_BETREFF">
    <vt:lpwstr>Excel Tabelle</vt:lpwstr>
  </property>
  <property fmtid="{D5CDD505-2E9C-101B-9397-08002B2CF9AE}" pid="4" name="DATEV-DMS_MANDANT_NR">
    <vt:lpwstr>60000</vt:lpwstr>
  </property>
  <property fmtid="{D5CDD505-2E9C-101B-9397-08002B2CF9AE}" pid="5" name="DATEV-DMS_MANDANT_BEZ">
    <vt:lpwstr>Büro Zwickau</vt:lpwstr>
  </property>
</Properties>
</file>